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10920" tabRatio="969" activeTab="17"/>
  </bookViews>
  <sheets>
    <sheet name="Souhrnná rekapitulace" sheetId="1" r:id="rId1"/>
    <sheet name="R-ON+VN" sheetId="2" r:id="rId2"/>
    <sheet name="P-ON+VN" sheetId="3" r:id="rId3"/>
    <sheet name="R-101" sheetId="4" r:id="rId4"/>
    <sheet name="P-101" sheetId="5" r:id="rId5"/>
    <sheet name="R-301" sheetId="6" r:id="rId6"/>
    <sheet name="P-301" sheetId="7" r:id="rId7"/>
    <sheet name="R-302" sheetId="8" r:id="rId8"/>
    <sheet name="P-302" sheetId="9" r:id="rId9"/>
    <sheet name="R-401" sheetId="10" r:id="rId10"/>
    <sheet name="P-401" sheetId="11" r:id="rId11"/>
    <sheet name="R-403" sheetId="12" r:id="rId12"/>
    <sheet name="P-403" sheetId="13" r:id="rId13"/>
    <sheet name="R-801" sheetId="14" r:id="rId14"/>
    <sheet name="P-801" sheetId="15" r:id="rId15"/>
    <sheet name="R-901" sheetId="16" r:id="rId16"/>
    <sheet name="P-901" sheetId="17" r:id="rId17"/>
    <sheet name="SO 501 PD OVaK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Regression_Int">1</definedName>
    <definedName name="cisloobjektu">'[1]Krycí list'!$A$5</definedName>
    <definedName name="CisloRozpoctu">'[5]Krycí list'!$C$2</definedName>
    <definedName name="cislostavby">'[1]Krycí list'!$A$7</definedName>
    <definedName name="Dil">#REF!</definedName>
    <definedName name="Dodavka">#REF!</definedName>
    <definedName name="Dodavka0" localSheetId="10">#REF!</definedName>
    <definedName name="Dodavka0" localSheetId="12">#REF!</definedName>
    <definedName name="Dodavka0" localSheetId="9">#REF!</definedName>
    <definedName name="Dodavka0" localSheetId="11">#REF!</definedName>
    <definedName name="Dodavka0">#REF!</definedName>
    <definedName name="HSV">#REF!</definedName>
    <definedName name="HSV0" localSheetId="10">#REF!</definedName>
    <definedName name="HSV0" localSheetId="12">#REF!</definedName>
    <definedName name="HSV0" localSheetId="9">#REF!</definedName>
    <definedName name="HSV0" localSheetId="11">#REF!</definedName>
    <definedName name="HSV0">#REF!</definedName>
    <definedName name="HZS">#REF!</definedName>
    <definedName name="HZS0" localSheetId="10">#REF!</definedName>
    <definedName name="HZS0" localSheetId="12">#REF!</definedName>
    <definedName name="HZS0" localSheetId="9">#REF!</definedName>
    <definedName name="HZS0" localSheetId="11">#REF!</definedName>
    <definedName name="HZS0">#REF!</definedName>
    <definedName name="kurz">'[3]Výpočet netto cen'!$B$11</definedName>
    <definedName name="l" localSheetId="10">#REF!</definedName>
    <definedName name="l" localSheetId="12">#REF!</definedName>
    <definedName name="l" localSheetId="9">#REF!</definedName>
    <definedName name="l" localSheetId="11">#REF!</definedName>
    <definedName name="l">#REF!</definedName>
    <definedName name="marže">'[3]Výpočet netto cen'!$B$12</definedName>
    <definedName name="Mont">#REF!</definedName>
    <definedName name="Montaz0" localSheetId="10">#REF!</definedName>
    <definedName name="Montaz0" localSheetId="12">#REF!</definedName>
    <definedName name="Montaz0" localSheetId="9">#REF!</definedName>
    <definedName name="Montaz0" localSheetId="11">#REF!</definedName>
    <definedName name="Montaz0">#REF!</definedName>
    <definedName name="NazevDilu">#REF!</definedName>
    <definedName name="nazevobjektu">'[1]Krycí list'!$C$5</definedName>
    <definedName name="NazevRozpoctu">'[5]Krycí list'!$D$2</definedName>
    <definedName name="nazevstavby">'[1]Krycí list'!$C$7</definedName>
    <definedName name="_xlnm.Print_Titles" localSheetId="4">'P-101'!$1:$9</definedName>
    <definedName name="_xlnm.Print_Titles" localSheetId="6">'P-301'!$1:$9</definedName>
    <definedName name="_xlnm.Print_Titles" localSheetId="8">'P-302'!$1:$9</definedName>
    <definedName name="_xlnm.Print_Titles" localSheetId="10">'P-401'!$1:$9</definedName>
    <definedName name="_xlnm.Print_Titles" localSheetId="12">'P-403'!$1:$9</definedName>
    <definedName name="_xlnm.Print_Titles" localSheetId="14">'P-801'!$1:$9</definedName>
    <definedName name="_xlnm.Print_Titles" localSheetId="16">'P-901'!$1:$9</definedName>
    <definedName name="_xlnm.Print_Titles" localSheetId="2">'P-ON+VN'!$1:$9</definedName>
    <definedName name="_xlnm.Print_Titles" localSheetId="17">'SO 501 PD OVaK'!$119:$119</definedName>
    <definedName name="_xlnm.Print_Area" localSheetId="4">'P-101'!$A$1:$L$167</definedName>
    <definedName name="_xlnm.Print_Area" localSheetId="6">'P-301'!$A$1:$L$53</definedName>
    <definedName name="_xlnm.Print_Area" localSheetId="8">'P-302'!$A$1:$L$33</definedName>
    <definedName name="_xlnm.Print_Area" localSheetId="10">'P-401'!$A$1:$L$127</definedName>
    <definedName name="_xlnm.Print_Area" localSheetId="12">'P-403'!$A$1:$L$67</definedName>
    <definedName name="_xlnm.Print_Area" localSheetId="14">'P-801'!$A$1:$L$106</definedName>
    <definedName name="_xlnm.Print_Area" localSheetId="16">'P-901'!$A$1:$L$34</definedName>
    <definedName name="_xlnm.Print_Area" localSheetId="2">'P-ON+VN'!$A$1:$L$32</definedName>
    <definedName name="_xlnm.Print_Area" localSheetId="13">'R-801'!$A$1:$G$24</definedName>
    <definedName name="_xlnm.Print_Area" localSheetId="15">'R-901'!$A$1:$G$20</definedName>
    <definedName name="_xlnm.Print_Area" localSheetId="17">'SO 501 PD OVaK'!$C$4:$Q$70,'SO 501 PD OVaK'!$C$76:$Q$104,'SO 501 PD OVaK'!$C$110:$Q$218</definedName>
    <definedName name="_xlnm.Print_Area" localSheetId="0">'Souhrnná rekapitulace'!$A$1:$J$27</definedName>
    <definedName name="Print_Area_MI">#REF!</definedName>
    <definedName name="Print_Titles_MI">#REF!</definedName>
    <definedName name="PSV">#REF!</definedName>
    <definedName name="PSV0" localSheetId="10">#REF!</definedName>
    <definedName name="PSV0" localSheetId="12">#REF!</definedName>
    <definedName name="PSV0" localSheetId="9">#REF!</definedName>
    <definedName name="PSV0" localSheetId="11">#REF!</definedName>
    <definedName name="PSV0">#REF!</definedName>
    <definedName name="rabat_1">'[2]Výpočet netto cen'!$B$7</definedName>
    <definedName name="skonto_1">'[2]Výpočet netto cen'!$B$10</definedName>
    <definedName name="skonto_2">'[2]Výpočet netto cen'!$B$11</definedName>
    <definedName name="skonto_3">'[2]Výpočet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10">#REF!</definedName>
    <definedName name="Typ" localSheetId="12">#REF!</definedName>
    <definedName name="Typ" localSheetId="9">#REF!</definedName>
    <definedName name="Typ" localSheetId="11">#REF!</definedName>
    <definedName name="Typ">#REF!</definedName>
    <definedName name="VRN">#REF!</definedName>
    <definedName name="VRNKc" localSheetId="10">'[1]Rekapitulace'!#REF!</definedName>
    <definedName name="VRNKc" localSheetId="12">'[1]Rekapitulace'!#REF!</definedName>
    <definedName name="VRNKc" localSheetId="9">'[1]Rekapitulace'!#REF!</definedName>
    <definedName name="VRNKc" localSheetId="11">'[1]Rekapitulace'!#REF!</definedName>
    <definedName name="VRNKc">'[1]Rekapitulace'!#REF!</definedName>
    <definedName name="VRNnazev" localSheetId="10">'[1]Rekapitulace'!#REF!</definedName>
    <definedName name="VRNnazev" localSheetId="12">'[1]Rekapitulace'!#REF!</definedName>
    <definedName name="VRNnazev" localSheetId="9">'[1]Rekapitulace'!#REF!</definedName>
    <definedName name="VRNnazev" localSheetId="11">'[1]Rekapitulace'!#REF!</definedName>
    <definedName name="VRNnazev">'[1]Rekapitulace'!#REF!</definedName>
    <definedName name="VRNproc" localSheetId="10">'[1]Rekapitulace'!#REF!</definedName>
    <definedName name="VRNproc" localSheetId="12">'[1]Rekapitulace'!#REF!</definedName>
    <definedName name="VRNproc" localSheetId="9">'[1]Rekapitulace'!#REF!</definedName>
    <definedName name="VRNproc" localSheetId="11">'[1]Rekapitulace'!#REF!</definedName>
    <definedName name="VRNproc">'[1]Rekapitulace'!#REF!</definedName>
    <definedName name="VRNzakl" localSheetId="10">'[1]Rekapitulace'!#REF!</definedName>
    <definedName name="VRNzakl" localSheetId="12">'[1]Rekapitulace'!#REF!</definedName>
    <definedName name="VRNzakl" localSheetId="9">'[1]Rekapitulace'!#REF!</definedName>
    <definedName name="VRNzakl" localSheetId="11">'[1]Rekapitulace'!#REF!</definedName>
    <definedName name="VRNzakl">'[1]Rekapitulace'!#REF!</definedName>
  </definedNames>
  <calcPr fullCalcOnLoad="1"/>
</workbook>
</file>

<file path=xl/sharedStrings.xml><?xml version="1.0" encoding="utf-8"?>
<sst xmlns="http://schemas.openxmlformats.org/spreadsheetml/2006/main" count="3041" uniqueCount="937">
  <si>
    <t>Poř</t>
  </si>
  <si>
    <t>Čís</t>
  </si>
  <si>
    <t>KódC</t>
  </si>
  <si>
    <t>Položka</t>
  </si>
  <si>
    <t>Zkrácený popis</t>
  </si>
  <si>
    <t>MJ</t>
  </si>
  <si>
    <t>Množství</t>
  </si>
  <si>
    <t>Jedn.cena</t>
  </si>
  <si>
    <t>Cena celkem</t>
  </si>
  <si>
    <t>Jedn.</t>
  </si>
  <si>
    <t>Celkem</t>
  </si>
  <si>
    <t>M2</t>
  </si>
  <si>
    <t>M</t>
  </si>
  <si>
    <t>SPC</t>
  </si>
  <si>
    <t>T</t>
  </si>
  <si>
    <t>Oddíl:</t>
  </si>
  <si>
    <t>10 Zemní práce</t>
  </si>
  <si>
    <t>Ceník</t>
  </si>
  <si>
    <t>Položkový rozpočet</t>
  </si>
  <si>
    <t>Oddíl celkem:</t>
  </si>
  <si>
    <t>H m o t y</t>
  </si>
  <si>
    <t>Stavba:</t>
  </si>
  <si>
    <t>Objekt:</t>
  </si>
  <si>
    <t>KUS</t>
  </si>
  <si>
    <t>99 Přesun hmot</t>
  </si>
  <si>
    <t>Rozpočet celkem</t>
  </si>
  <si>
    <t>Zemní práce</t>
  </si>
  <si>
    <t>Přesun hmot</t>
  </si>
  <si>
    <t>Hmoty</t>
  </si>
  <si>
    <t>Celkem Kč</t>
  </si>
  <si>
    <t>Rozpočet celkem včetně DPH</t>
  </si>
  <si>
    <t>Rekapitulace objektu</t>
  </si>
  <si>
    <t>822-1</t>
  </si>
  <si>
    <t>Komunikace</t>
  </si>
  <si>
    <t>50 Komunikace</t>
  </si>
  <si>
    <t>Ostatní práce</t>
  </si>
  <si>
    <t>90 Ostatní práce</t>
  </si>
  <si>
    <t>----------------------------------------</t>
  </si>
  <si>
    <t>DPH</t>
  </si>
  <si>
    <t>Celkem Kč včetně DPH</t>
  </si>
  <si>
    <t>Souhrnná rekapitulace stavby</t>
  </si>
  <si>
    <t xml:space="preserve"> Stavba:</t>
  </si>
  <si>
    <t>Rozpočet:</t>
  </si>
  <si>
    <t>R</t>
  </si>
  <si>
    <t>ZRN celkem</t>
  </si>
  <si>
    <t>Rozpočet celkem bez DPH</t>
  </si>
  <si>
    <t>kontrola</t>
  </si>
  <si>
    <t xml:space="preserve"> Objednatel:</t>
  </si>
  <si>
    <t xml:space="preserve">DPH  </t>
  </si>
  <si>
    <t>80 Trubní vedení</t>
  </si>
  <si>
    <t>Trubní vedení</t>
  </si>
  <si>
    <t>Příplatek za každý další km</t>
  </si>
  <si>
    <t>uvažována celková vzdálenost 15 km</t>
  </si>
  <si>
    <t>827-1</t>
  </si>
  <si>
    <t>JKSO:</t>
  </si>
  <si>
    <t>CÚ:</t>
  </si>
  <si>
    <t>Poplatek za uložení odpadu z kameniva na skládce</t>
  </si>
  <si>
    <t>Vlastník</t>
  </si>
  <si>
    <t>ÚRS</t>
  </si>
  <si>
    <t>vlastní</t>
  </si>
  <si>
    <t>JKSO</t>
  </si>
  <si>
    <t>Vedlejší a ostatní náklady</t>
  </si>
  <si>
    <t xml:space="preserve"> ÚRS 2013</t>
  </si>
  <si>
    <t>Vodorovná doprava suti ze sypkých materiálů do 1 km</t>
  </si>
  <si>
    <t>Poplatek za uložení asf.povrchů odpadu na skládce</t>
  </si>
  <si>
    <t>SO 101</t>
  </si>
  <si>
    <t xml:space="preserve">plocha + 2% ztratné = </t>
  </si>
  <si>
    <t>Výšková úprava ul.vstupu zvýšením poklopu</t>
  </si>
  <si>
    <t>Výšková úprava ul.vstupu zvýšením krycího hrnce</t>
  </si>
  <si>
    <t xml:space="preserve"> 822 29</t>
  </si>
  <si>
    <t>výpočet: dtto položka 6 =</t>
  </si>
  <si>
    <t>výpočet: dtto položka 2 =</t>
  </si>
  <si>
    <t>Vodorovná doprava vybouraných hmot do 1 km</t>
  </si>
  <si>
    <t>Poplatek za uložení betonového odpadu na skládce</t>
  </si>
  <si>
    <t>Rekonstrukce ul. 28. října od Masarykova nám. po Smetanovo nám.</t>
  </si>
  <si>
    <t>Statutární město Ostrava, Městský obvod Moravská Ostrava a Přívoz</t>
  </si>
  <si>
    <t>SO 901</t>
  </si>
  <si>
    <t>Městský mobiliář</t>
  </si>
  <si>
    <t>SO 801</t>
  </si>
  <si>
    <t>Zeleň</t>
  </si>
  <si>
    <t>823 27</t>
  </si>
  <si>
    <t>822 57</t>
  </si>
  <si>
    <t>SO 501</t>
  </si>
  <si>
    <t>SO 403</t>
  </si>
  <si>
    <t>Přípojka reklamních panelů</t>
  </si>
  <si>
    <t>SO 401</t>
  </si>
  <si>
    <t>Veřejné osvětlení</t>
  </si>
  <si>
    <t>Rekonstrukce kanalizace</t>
  </si>
  <si>
    <t>SO 302</t>
  </si>
  <si>
    <t>Vodovodní přípojka pro pítko</t>
  </si>
  <si>
    <t>SO 301</t>
  </si>
  <si>
    <t>Přeložka vodovodu</t>
  </si>
  <si>
    <t>827 52</t>
  </si>
  <si>
    <t>827 19</t>
  </si>
  <si>
    <t>827 13</t>
  </si>
  <si>
    <t>822 29</t>
  </si>
  <si>
    <t>Přesun hm poz kom kryt dlážděný</t>
  </si>
  <si>
    <t>Odstr živ krytu tl do 50 mm v ploše přes 200 m2</t>
  </si>
  <si>
    <t>viz výkres Koordinační situace;  suť = 0,077 t/m2</t>
  </si>
  <si>
    <t>Vodorovná doprava suti z kusových materiálů do 1 km</t>
  </si>
  <si>
    <t>viz výkres Koordinační situace; suť = 0,307 t/m2</t>
  </si>
  <si>
    <t>viz výkres Koordinační situace</t>
  </si>
  <si>
    <t>viz výkres Koordinační situace; s plastovou mříží</t>
  </si>
  <si>
    <t>Obrubník OP3</t>
  </si>
  <si>
    <t>rozebrání žulové kostky 100 x 100 mm (bude dále použita)</t>
  </si>
  <si>
    <t>doplnění lože na požadovanou tloušťku 40 mm</t>
  </si>
  <si>
    <t>Podklad pod dlažbu od 30 do 50mm z cem.malty</t>
  </si>
  <si>
    <t>Kladení dlažby z mozaiky jednobar lože 40 mm z cem malty</t>
  </si>
  <si>
    <t>Kladení dlažby z kostek drobných do lože 50 mm z cem malty</t>
  </si>
  <si>
    <t>Očištění drobných kostek s vypl spár živicí nebo cem maltou</t>
  </si>
  <si>
    <t>použití vybouraných kostek</t>
  </si>
  <si>
    <t>Žulová kostka 60/60/50 mm</t>
  </si>
  <si>
    <t>výpočet: suť t/m2 x plocha = 0,077 x 4433,93 =</t>
  </si>
  <si>
    <t>Frézování bet krytu pl 1000-10000 m2 s překážkami š. 0,5-1,0 m, tl. 120 mm</t>
  </si>
  <si>
    <t>výpočet: suť t/m2 x plocha = 0,307 x 4433,93 =</t>
  </si>
  <si>
    <t>Rozebrání dlažeb z drob kostek do lože z kam pl přes 200 m2</t>
  </si>
  <si>
    <t>viz výkres Koordinační situace;  suť = 0,080 t/m2</t>
  </si>
  <si>
    <t>Kladení kam dlaždic pl 0,09-0,25 m2 kom pěší do cem malty  pl přes 300 m2</t>
  </si>
  <si>
    <t>Zrušení staré kanalizace DN 300</t>
  </si>
  <si>
    <t>vč.zemních prací</t>
  </si>
  <si>
    <t>doplnění lože na tloušťku 50 mm</t>
  </si>
  <si>
    <t>Příplatek za každý další cm lože pod dlažbu přes 50mm z cem.malty</t>
  </si>
  <si>
    <t>doplnění lože na požadovanou tloušťku celkovou 100 mm</t>
  </si>
  <si>
    <t>doplnění lože na požadovanou celkovou tloušťku 70 mm</t>
  </si>
  <si>
    <t>Rozebrání dlažeb z kamenných dlaždic nebo desek</t>
  </si>
  <si>
    <t>rozebrání žulových desek (bez dalšího použití na této stavbě)</t>
  </si>
  <si>
    <t>viz výkres Koordinační situace;  suť = 0,235 t/m2</t>
  </si>
  <si>
    <t>odvoz lože, výpočet: suť t/m2 x plocha = 0,08 x 797,64 =</t>
  </si>
  <si>
    <t>výpočet: suť t/m2 x plocha = 0,235 x 123,13 =</t>
  </si>
  <si>
    <t>Přípojky kanalizace DN 150</t>
  </si>
  <si>
    <t xml:space="preserve"> vč.zemních prací</t>
  </si>
  <si>
    <t>Pamětní tabule (předpokládaný materiál mramor)</t>
  </si>
  <si>
    <t>Kladení dlažby z kostek velkých do lože 50 mm z cem malty</t>
  </si>
  <si>
    <t xml:space="preserve">kolejový památník z velké kostky; plocha odečtena z výkresu = </t>
  </si>
  <si>
    <t>D+M kolejnice NP 4</t>
  </si>
  <si>
    <t>kolejový památník</t>
  </si>
  <si>
    <t>Ulice 28.října</t>
  </si>
  <si>
    <t>SO 101  -  Ulice 28.října</t>
  </si>
  <si>
    <t xml:space="preserve"> Varianta</t>
  </si>
  <si>
    <t>Cena kamenných desek 4000 Kč/m2</t>
  </si>
  <si>
    <t>m2</t>
  </si>
  <si>
    <t>m</t>
  </si>
  <si>
    <t>ks</t>
  </si>
  <si>
    <t>Žulová kostka 150/250/140 mm</t>
  </si>
  <si>
    <t>hydrant =</t>
  </si>
  <si>
    <t>DSP</t>
  </si>
  <si>
    <t>Vedlejší náklady</t>
  </si>
  <si>
    <t>Ostatní náklady</t>
  </si>
  <si>
    <t>800-0</t>
  </si>
  <si>
    <t>032002000</t>
  </si>
  <si>
    <t>Zařízení staveniště - vybavení ZS</t>
  </si>
  <si>
    <t>Kč</t>
  </si>
  <si>
    <t>Náklady na stavební buňky, pronájem ploch, prov.komunikace, skládky</t>
  </si>
  <si>
    <t>034002000</t>
  </si>
  <si>
    <t>Zařízení staveniště - zabezpečení ZS</t>
  </si>
  <si>
    <t>Náklady na energie pro ZS, oplocení staveniště</t>
  </si>
  <si>
    <t>039002000</t>
  </si>
  <si>
    <t>Zařízení staveniště - zrušení ZS</t>
  </si>
  <si>
    <t>Rozebrání ZS, odvoz a úprava ploch</t>
  </si>
  <si>
    <t>Montáž a demontáž dočasného dopravního značení</t>
  </si>
  <si>
    <t>CEL</t>
  </si>
  <si>
    <t>včetně příplatku za každý den použití</t>
  </si>
  <si>
    <t>Geodetické práce před výstavbou</t>
  </si>
  <si>
    <t>vytyčení průběhu stáv.inž.sítí</t>
  </si>
  <si>
    <t>013254000</t>
  </si>
  <si>
    <t>Dokumentace skutečného provedení stavby</t>
  </si>
  <si>
    <t>071203000</t>
  </si>
  <si>
    <t>Provozní vlivy  - provoz třetího subjektu</t>
  </si>
  <si>
    <t>pěší provoz v okolí stavby</t>
  </si>
  <si>
    <t>011324000</t>
  </si>
  <si>
    <t>Archeologický průzkum</t>
  </si>
  <si>
    <t xml:space="preserve"> 828 73</t>
  </si>
  <si>
    <t>Zrušení stáv. UV a nahrazení novou UV s napojením na kanalizaci</t>
  </si>
  <si>
    <t>odstranění litého asf.tl. 30 mm; plocha odečtena z výkresu =</t>
  </si>
  <si>
    <t>odfrézování část podkl.desky pod LA, plocha odečtena z výkresu =</t>
  </si>
  <si>
    <t>plocha odečtena z výkresu =</t>
  </si>
  <si>
    <t>dtto položka 10 =</t>
  </si>
  <si>
    <t>plocha pochůzí; plocha odečtena z výkresu =</t>
  </si>
  <si>
    <t>plocha + 2% ztratné =</t>
  </si>
  <si>
    <t>pás š. do  500 mm podél objektů; plocha odečtena z výkresu =</t>
  </si>
  <si>
    <t>vozovka; plocha odečtena z výkresu =</t>
  </si>
  <si>
    <t>obrubník OP 3; délka odečtena z výkresu =</t>
  </si>
  <si>
    <t>OP 3 = délka + 1% ztratné =</t>
  </si>
  <si>
    <t>SO 901  -  Městský mobiliář</t>
  </si>
  <si>
    <t xml:space="preserve"> 822 57</t>
  </si>
  <si>
    <t xml:space="preserve">Lavička      </t>
  </si>
  <si>
    <t xml:space="preserve">Mříž kolem stromů      </t>
  </si>
  <si>
    <t xml:space="preserve">Pítko      </t>
  </si>
  <si>
    <t xml:space="preserve">Regulační sloupek      </t>
  </si>
  <si>
    <t xml:space="preserve">Reklamní skříně      </t>
  </si>
  <si>
    <t xml:space="preserve">Stojan kol      </t>
  </si>
  <si>
    <t>Ocelový sloup s replikou zastávkového označníku a s informační tabulkou</t>
  </si>
  <si>
    <t>Historická lavička - litina+dřevo</t>
  </si>
  <si>
    <t>SO 301  -  Přeložka vodovodu</t>
  </si>
  <si>
    <t xml:space="preserve"> 827 13</t>
  </si>
  <si>
    <t>.</t>
  </si>
  <si>
    <t>Demontáž stávajícího vodovodního potrubí DN200 LT</t>
  </si>
  <si>
    <t>Demontáž stávajícího vodovodního potrubí DN150 PE/PVC</t>
  </si>
  <si>
    <t>Demontáž stávajícího vodovodního potrubí DN100 PE</t>
  </si>
  <si>
    <t>Demontáž stávajícího vodovodního potrubí DN100 LT</t>
  </si>
  <si>
    <t>Demontáž stávajícího vodovodního potrubí DN80 PE</t>
  </si>
  <si>
    <t>Demontáž stávajících vodovodních přípojek</t>
  </si>
  <si>
    <t>Výkop rýhy pro vodovodní řady, š 1,0 m</t>
  </si>
  <si>
    <t>M3</t>
  </si>
  <si>
    <t>Výkop rýhy pro vodovodní přípojky, š 0,80 m</t>
  </si>
  <si>
    <t>Podsyp pro vodovodní potrubí, vodovodní řady</t>
  </si>
  <si>
    <t>Podsyp pro vodovodní potrubí, vodovodní přípojky</t>
  </si>
  <si>
    <t>Obsyp potrubí, vodovodní řad</t>
  </si>
  <si>
    <t>Obsyp potrubí, vodovodní přípojky</t>
  </si>
  <si>
    <t>Zához (ve vozovce - zemina vhodná dle ČSN 73 6133), řady</t>
  </si>
  <si>
    <t>Zához (ve vozovce - zemina vhodná dle ČSN 73 6133), přípojky</t>
  </si>
  <si>
    <t>Nové vodovodní potrubí DN225 PE 100 RC, SDR 11</t>
  </si>
  <si>
    <t>Nové vodovodní potrubí DN160 PE 100 RC, SDR 11</t>
  </si>
  <si>
    <t>Nové vodovodní potrubí DN110 PE 100 RC, SDR 11</t>
  </si>
  <si>
    <t>Nové vodovodní potrubí DN90 PE 100 RC, SDR 11</t>
  </si>
  <si>
    <t>Elektrotvarovky, LT armatury</t>
  </si>
  <si>
    <t>SOUB</t>
  </si>
  <si>
    <t>Nové vodovodní přípojky</t>
  </si>
  <si>
    <t>Ventil vodovodní přípojky vč. navrtávacího pasu</t>
  </si>
  <si>
    <t>Šoupě voda DN200</t>
  </si>
  <si>
    <t>Šoupě voda DN150</t>
  </si>
  <si>
    <t>Šoupě voda DN100</t>
  </si>
  <si>
    <t>Šoupě voda DN80</t>
  </si>
  <si>
    <t>Podzemí hydrant DN80 vč. šoupátka DN80</t>
  </si>
  <si>
    <t>Signalizační vodič Cu 4mm</t>
  </si>
  <si>
    <t>Přepojení potrubí (hlavní řád)</t>
  </si>
  <si>
    <t>Připojení přípojek na nový řád (včetně připojení do přípojek nemovitostí)</t>
  </si>
  <si>
    <t>Zajištění stávajících el. kabelů</t>
  </si>
  <si>
    <t>Bourání základů betonových - stávající náhon</t>
  </si>
  <si>
    <t>m3</t>
  </si>
  <si>
    <t>Tlaková zkouška potrubí</t>
  </si>
  <si>
    <t>Dezinfekce potrubí</t>
  </si>
  <si>
    <t>Zajištění stávajícího potrubí proti proudění vody</t>
  </si>
  <si>
    <t>Zaměření potrubí přeloženého potrubí</t>
  </si>
  <si>
    <t>Orientační tabulky</t>
  </si>
  <si>
    <t>SO 302  -  Vodovodní přípojka pro pítko</t>
  </si>
  <si>
    <t xml:space="preserve"> 827 19</t>
  </si>
  <si>
    <t>Výkop rýhy š 0,80 m</t>
  </si>
  <si>
    <t>Výkop jám,  pažená, pro VŠ</t>
  </si>
  <si>
    <t>hutněný podsyp štěrkodrť 32/63</t>
  </si>
  <si>
    <t>podsyp pro vodovodní potrubí</t>
  </si>
  <si>
    <t>obsyp potrubí</t>
  </si>
  <si>
    <t>Zához (zemina vhodná dle ČSN 73 6133) VŠ</t>
  </si>
  <si>
    <t>Zához (zemina vhodná dle ČSN 73 6133) potrubí</t>
  </si>
  <si>
    <t>Vodovodní přípojka a rozvod PE100, SDR11, DN25 (32x3,0mm)</t>
  </si>
  <si>
    <t>Elektrotvarovky, armatury</t>
  </si>
  <si>
    <t>Vodoměrná šachta včetně vystrojení, obetonování šachty, poklop</t>
  </si>
  <si>
    <t>Připojení přípojek na vodovodní řád vč. ventilu, propojení s pítkem</t>
  </si>
  <si>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</si>
  <si>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</si>
  <si>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</si>
  <si>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</si>
  <si>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</si>
  <si>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</si>
  <si>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</si>
  <si>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</si>
  <si>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{71289BB3-BED0-437E-831C-F4C7CA6BC4DD}</t>
  </si>
  <si>
    <t>v</t>
  </si>
  <si>
    <t>Celkový výkop</t>
  </si>
  <si>
    <t>481,871</t>
  </si>
  <si>
    <t>2</t>
  </si>
  <si>
    <t>k</t>
  </si>
  <si>
    <t>Konstrukce vozovky</t>
  </si>
  <si>
    <t>52,5</t>
  </si>
  <si>
    <t>KRYCÍ LIST ROZPOČTU</t>
  </si>
  <si>
    <t>v ---  níže se nacházejí doplnkové a pomocné údaje k sestavám  --- v</t>
  </si>
  <si>
    <t>False</t>
  </si>
  <si>
    <t>n</t>
  </si>
  <si>
    <t>Odvoz zeminy</t>
  </si>
  <si>
    <t>418,468</t>
  </si>
  <si>
    <t>o</t>
  </si>
  <si>
    <t>Obsyp potrubí</t>
  </si>
  <si>
    <t xml:space="preserve"> </t>
  </si>
  <si>
    <t>95,512</t>
  </si>
  <si>
    <t>Oprava kanalizace v ul. 28. října</t>
  </si>
  <si>
    <t>s</t>
  </si>
  <si>
    <t>suť</t>
  </si>
  <si>
    <t>t</t>
  </si>
  <si>
    <t>114,125</t>
  </si>
  <si>
    <t>CC-CZ:</t>
  </si>
  <si>
    <t>ž</t>
  </si>
  <si>
    <t>živice</t>
  </si>
  <si>
    <t>194,25</t>
  </si>
  <si>
    <t>Místo:</t>
  </si>
  <si>
    <t>Datum:</t>
  </si>
  <si>
    <t>b</t>
  </si>
  <si>
    <t>Bourání betonu</t>
  </si>
  <si>
    <t>10,903</t>
  </si>
  <si>
    <t>Objednavatel:</t>
  </si>
  <si>
    <t>IČ:</t>
  </si>
  <si>
    <t>SMO MOB MOR. OSTRAVA A PŘÍVOZ</t>
  </si>
  <si>
    <t>DIČ:</t>
  </si>
  <si>
    <t>Zhotovitel:</t>
  </si>
  <si>
    <t>Projektant:</t>
  </si>
  <si>
    <t>OVAK a.s.</t>
  </si>
  <si>
    <t>Zpracovatel:</t>
  </si>
  <si>
    <t>Náklady z rozpočtu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</si>
  <si>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</si>
  <si>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</si>
  <si>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</si>
  <si>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</si>
  <si>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</si>
  <si>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</si>
  <si>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</si>
  <si>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</si>
  <si>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</si>
  <si>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</si>
  <si>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</si>
  <si>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</si>
  <si>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</si>
  <si>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</si>
  <si>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</si>
  <si>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</si>
  <si>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</si>
  <si>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</si>
  <si>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</si>
  <si>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</si>
  <si>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</si>
  <si>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</si>
  <si>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</si>
  <si>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</si>
  <si>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</si>
  <si>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</si>
  <si>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  96 - Bourání konstrukcí</t>
  </si>
  <si>
    <t xml:space="preserve">      99 - Přesuny hmot a sutí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</si>
  <si>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</si>
  <si>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</si>
  <si>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</si>
  <si>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</si>
  <si>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</si>
  <si>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</si>
  <si>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</si>
  <si>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</si>
  <si>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</si>
  <si>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</si>
  <si>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</si>
  <si>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</si>
  <si>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</si>
  <si>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</si>
  <si>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</si>
  <si>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</si>
  <si>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</si>
  <si>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</si>
  <si>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</si>
  <si>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</si>
  <si>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</si>
  <si>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</si>
  <si>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1</t>
  </si>
  <si>
    <t>0</t>
  </si>
  <si>
    <t>ROZPOCET</t>
  </si>
  <si>
    <t>K</t>
  </si>
  <si>
    <t>115101201</t>
  </si>
  <si>
    <t>Čerpání vody na dopravní výšku do 10 m průměrný přítok do 500 l/min</t>
  </si>
  <si>
    <t>hod</t>
  </si>
  <si>
    <t>4</t>
  </si>
  <si>
    <t>115101301</t>
  </si>
  <si>
    <t>Pohotovost čerpací soupravy pro dopravní výšku do 10 m přítok do 500 l/min</t>
  </si>
  <si>
    <t>den</t>
  </si>
  <si>
    <t>3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</si>
  <si>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</si>
  <si>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</si>
  <si>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</si>
  <si>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</si>
  <si>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>6</t>
  </si>
  <si>
    <t>132201202</t>
  </si>
  <si>
    <t>Hloubení rýh š do 2000 mm v hornině tř. 3 objemu do 1000 m3</t>
  </si>
  <si>
    <t>7</t>
  </si>
  <si>
    <t>132201209</t>
  </si>
  <si>
    <t>Příplatek za lepivost k hloubení rýh š do 2000 mm v hornině tř. 3</t>
  </si>
  <si>
    <t>8</t>
  </si>
  <si>
    <t>132301202</t>
  </si>
  <si>
    <t>Hloubení rýh š do 2000 mm v hornině tř. 4 objemu do 1000 m3</t>
  </si>
  <si>
    <t>9</t>
  </si>
  <si>
    <t>132301209</t>
  </si>
  <si>
    <t>Příplatek za lepivost k hloubení rýh š do 2000 mm v hornině tř. 4</t>
  </si>
  <si>
    <t>12</t>
  </si>
  <si>
    <t>151301103</t>
  </si>
  <si>
    <t>Zřízení hnaného pažení a rozepření stěn rýh hl do 8 m</t>
  </si>
  <si>
    <t>13</t>
  </si>
  <si>
    <t>151301113</t>
  </si>
  <si>
    <t>Odstranění hnaného pažení a rozepření stěn rýh hl do 8 m</t>
  </si>
  <si>
    <t>14</t>
  </si>
  <si>
    <t>151301301</t>
  </si>
  <si>
    <t>Zřízení rozepření stěn při pažení hnaném hl do 4 m</t>
  </si>
  <si>
    <t>15</t>
  </si>
  <si>
    <t>151301311</t>
  </si>
  <si>
    <t>Odstranění rozepření stěn při pažení hnaném hl do 4 m</t>
  </si>
  <si>
    <t>16</t>
  </si>
  <si>
    <t>151831122</t>
  </si>
  <si>
    <t>Osazení a odstranění pažicího boxu lehkého hl výkopu do 4 m š do 2 m</t>
  </si>
  <si>
    <t>99</t>
  </si>
  <si>
    <t>151831111</t>
  </si>
  <si>
    <t>Osazení a odstranění pažicího boxu lehkého hl výkopu do 3 m š do 1 m</t>
  </si>
  <si>
    <t>17</t>
  </si>
  <si>
    <t>162701105</t>
  </si>
  <si>
    <t>Vodorovné přemístění do 10000 m výkopku/sypaniny z horniny tř. 1 až 4</t>
  </si>
  <si>
    <t>18</t>
  </si>
  <si>
    <t>167101102</t>
  </si>
  <si>
    <t>Nakládání výkopku z hornin tř. 1 až 4 přes 100 m3</t>
  </si>
  <si>
    <t>19</t>
  </si>
  <si>
    <t>174101101</t>
  </si>
  <si>
    <t>Zásyp jam, šachet rýh nebo kolem objektů sypaninou se zhutněním</t>
  </si>
  <si>
    <t>20</t>
  </si>
  <si>
    <t>583336880</t>
  </si>
  <si>
    <t>kamenivo těžené hrubé frakce 32-63</t>
  </si>
  <si>
    <t>21</t>
  </si>
  <si>
    <t>175101101</t>
  </si>
  <si>
    <t>Obsypání potrubí bez prohození sypaniny z hornin tř. 1 až 4 uloženým do 3 m od kraje výkopu</t>
  </si>
  <si>
    <t>22</t>
  </si>
  <si>
    <t>583313450</t>
  </si>
  <si>
    <t>kamenivo těžené drobné frakce 0-4</t>
  </si>
  <si>
    <t>110</t>
  </si>
  <si>
    <t>352271112</t>
  </si>
  <si>
    <t>Zdivo horní části stok tl 250 mm z cihel vápenopískových kyselinovzdorných otevřený výkop</t>
  </si>
  <si>
    <t>23</t>
  </si>
  <si>
    <t>451595111</t>
  </si>
  <si>
    <t>Lože pod potrubí otevřený výkop z prohozeného výkopku</t>
  </si>
  <si>
    <t>100</t>
  </si>
  <si>
    <t>452312131</t>
  </si>
  <si>
    <t>Sedlové lože z betonu prostého tř. C 12/15 otevřený výkop</t>
  </si>
  <si>
    <t>42</t>
  </si>
  <si>
    <t>831312121</t>
  </si>
  <si>
    <t>Montáž potrubí z trub kameninových hrdlových s integrovaným těsněním výkop sklon do 20 % DN 150</t>
  </si>
  <si>
    <t>43</t>
  </si>
  <si>
    <t>597106750</t>
  </si>
  <si>
    <t>trouba kameninová glazovaná DN150mm L1,50m spojovací systém F</t>
  </si>
  <si>
    <t>44</t>
  </si>
  <si>
    <t>831352121</t>
  </si>
  <si>
    <t xml:space="preserve">Montáž potrubí z trub kameninových hrdlových s integrovaným těsněním výkop sklon do 20 % DN 200 </t>
  </si>
  <si>
    <t>45</t>
  </si>
  <si>
    <t>597107030</t>
  </si>
  <si>
    <t>trouba kameninová glazovaná DN200mm L2,50m spojovací systém F,C Třida 160</t>
  </si>
  <si>
    <t>46</t>
  </si>
  <si>
    <t>831362121</t>
  </si>
  <si>
    <t>Montáž potrubí z trub kameninových hrdlových s integrovaným těsněním výkop sklon do 20 % DN 250</t>
  </si>
  <si>
    <t>47</t>
  </si>
  <si>
    <t>597107020</t>
  </si>
  <si>
    <t>trouba kameninová glazovaná pouze uvnitř DN250mm L2,50m spojovací systém C Třida 160</t>
  </si>
  <si>
    <t>111</t>
  </si>
  <si>
    <t>899623131</t>
  </si>
  <si>
    <t>Obetonování potrubí nebo zdiva stok betonem prostým tř. C 8/10 otevřený výkop</t>
  </si>
  <si>
    <t>48</t>
  </si>
  <si>
    <t>831422121</t>
  </si>
  <si>
    <t>Montáž potrubí z trub kameninových hrdlových s integrovaným těsněním výkop sklon do 20 % DN 500</t>
  </si>
  <si>
    <t>49</t>
  </si>
  <si>
    <t>597107120</t>
  </si>
  <si>
    <t>trouba kameninová glazovaná DN500mm L2,50m spojovací systém C Třída 120</t>
  </si>
  <si>
    <t>112</t>
  </si>
  <si>
    <t>597108900-1</t>
  </si>
  <si>
    <t>trouba kameninová glazovaná zkrácená GA DN800mm L60(75)cm třída 160 spojovací systém C</t>
  </si>
  <si>
    <t>kus</t>
  </si>
  <si>
    <t>52</t>
  </si>
  <si>
    <t>837312221</t>
  </si>
  <si>
    <t>Montáž kameninových tvarovek jednoosých s integrovaným těsněním otevřený výkop DN 150</t>
  </si>
  <si>
    <t>53</t>
  </si>
  <si>
    <t>597109840</t>
  </si>
  <si>
    <t>koleno kameninové glazované DN150mm 45° spojovací systém F</t>
  </si>
  <si>
    <t>54</t>
  </si>
  <si>
    <t>837352221</t>
  </si>
  <si>
    <t>Montáž kameninových tvarovek jednoosých s integrovaným těsněním otevřený výkop DN 200</t>
  </si>
  <si>
    <t>55</t>
  </si>
  <si>
    <t>597109860</t>
  </si>
  <si>
    <t>koleno kameninové glazované DN200mm 45° spojovací systém F tř. 160</t>
  </si>
  <si>
    <t>101</t>
  </si>
  <si>
    <t>597133020</t>
  </si>
  <si>
    <t>manžeta převlečná typ 2A DN 150 průměr 175-190 šířka 100 mm</t>
  </si>
  <si>
    <t>102</t>
  </si>
  <si>
    <t>597133030</t>
  </si>
  <si>
    <t>manžeta převlečná typ 2A DN 200 průměr 235-250 šířka 100 mm tř. 160</t>
  </si>
  <si>
    <t>58</t>
  </si>
  <si>
    <t>831263195</t>
  </si>
  <si>
    <t>Příplatek za zřízení kanalizační přípojky DN 100 až 300</t>
  </si>
  <si>
    <t>61</t>
  </si>
  <si>
    <t>871313121</t>
  </si>
  <si>
    <t>Montáž potrubí z kanalizačních trub z PVC otevřený výkop sklon do 20 % DN 150</t>
  </si>
  <si>
    <t>107</t>
  </si>
  <si>
    <t>871353121</t>
  </si>
  <si>
    <t>Montáž potrubí z kanalizačních trub z PVC otevřený výkop sklon do 20 % DN 200</t>
  </si>
  <si>
    <t>62</t>
  </si>
  <si>
    <t>286171120</t>
  </si>
  <si>
    <t>trubka kanalizační plnostěnná PP  SN 10, dl. 3m, DN 150</t>
  </si>
  <si>
    <t>63</t>
  </si>
  <si>
    <t>286171030</t>
  </si>
  <si>
    <t>trubka kanalizační plnostěnná PP SN 10, dl. 1m, DN 200</t>
  </si>
  <si>
    <t>64</t>
  </si>
  <si>
    <t>877315211</t>
  </si>
  <si>
    <t xml:space="preserve">Montáž tvarovek z tvrdého PVC-systém KG nebo z polypropylenu-systém KG 2000 jednoosé DN 150 </t>
  </si>
  <si>
    <t>65</t>
  </si>
  <si>
    <t>877355211</t>
  </si>
  <si>
    <t xml:space="preserve">Montáž tvarovek z tvrdého PVC-systém KG nebo z polypropylenu-systém KG 2000 jednoosé DN 200 </t>
  </si>
  <si>
    <t>108</t>
  </si>
  <si>
    <t>286171820</t>
  </si>
  <si>
    <t>koleno kanalizační PP Master 45 ° DN 150</t>
  </si>
  <si>
    <t>109</t>
  </si>
  <si>
    <t>286171830</t>
  </si>
  <si>
    <t>koleno kanalizační PP Master 45 ° DN 200</t>
  </si>
  <si>
    <t>70</t>
  </si>
  <si>
    <t>892362121</t>
  </si>
  <si>
    <t>Tlaková zkouška vzduchem potrubí DN 250 těsnícím vakem ucpávkovým</t>
  </si>
  <si>
    <t>úsek</t>
  </si>
  <si>
    <t>71</t>
  </si>
  <si>
    <t>892422121</t>
  </si>
  <si>
    <t>Tlaková zkouška vzduchem potrubí DN 500 těsnícím vakem ucpávkovým</t>
  </si>
  <si>
    <t>72</t>
  </si>
  <si>
    <t>892492121</t>
  </si>
  <si>
    <t>Tlaková zkouška vzduchem RŠ těsnícím vakem ucpávkovým</t>
  </si>
  <si>
    <t>73</t>
  </si>
  <si>
    <t>89255-111</t>
  </si>
  <si>
    <t>Kamerová prohlídka</t>
  </si>
  <si>
    <t>74</t>
  </si>
  <si>
    <t>894411241</t>
  </si>
  <si>
    <t>Zřízení šachet kanalizačních z betonových dílců na potrubí DN 500 dno kamenina</t>
  </si>
  <si>
    <t>76</t>
  </si>
  <si>
    <t>592243200</t>
  </si>
  <si>
    <t>prstenec šachetní betonový vyrovnávací TBW-Q.1 63/6 62,5 x 12 x 6 cm</t>
  </si>
  <si>
    <t>77</t>
  </si>
  <si>
    <t>592243210</t>
  </si>
  <si>
    <t>prstenec šachetní betonový vyrovnávací TBW-Q.1 63/8 62,5 x 12 x 8 cm</t>
  </si>
  <si>
    <t>78</t>
  </si>
  <si>
    <t>592243230</t>
  </si>
  <si>
    <t>prstenec šachetní betonový vyrovnávací TBW-Q.1 63/10 62,5 x 12 x 10 cm</t>
  </si>
  <si>
    <t>80</t>
  </si>
  <si>
    <t>592243120</t>
  </si>
  <si>
    <t>konus šachetní betonový TBR-Q.1 100-63/58/12 KPS 100x62,5x58 cm</t>
  </si>
  <si>
    <t>106</t>
  </si>
  <si>
    <t>592243150-4</t>
  </si>
  <si>
    <t>deska betonová zákrytová TZK-Q.1 150-100/25 Q.1</t>
  </si>
  <si>
    <t>81</t>
  </si>
  <si>
    <t>592243050</t>
  </si>
  <si>
    <t>skruž betonová šachetní TBS-Q.1 100/25 D100x25x12 cm</t>
  </si>
  <si>
    <t>82</t>
  </si>
  <si>
    <t>592243060</t>
  </si>
  <si>
    <t>skruž betonová šachetní TBS-Q.1 100/50 D100x50x12 cm</t>
  </si>
  <si>
    <t>83</t>
  </si>
  <si>
    <t>592243070</t>
  </si>
  <si>
    <t>skruž betonová šachetní TBS-Q.1 100/100 D100x100x12 cm</t>
  </si>
  <si>
    <t>84</t>
  </si>
  <si>
    <t>592243380</t>
  </si>
  <si>
    <t>dno betonové šachty kanalizační přímé TBZ-Q.1 100/80 V max. 50 100/80x50 cm</t>
  </si>
  <si>
    <t>104</t>
  </si>
  <si>
    <t>592243390-4</t>
  </si>
  <si>
    <t>dno betonové šachty kanalizační TBZ-Q.1 150/159  V max. 100</t>
  </si>
  <si>
    <t>103</t>
  </si>
  <si>
    <t>592243390</t>
  </si>
  <si>
    <t>dno betonové šachty kanalizační přímé TBZ-Q.1 100/100 V max. 60 100/100x60 cm</t>
  </si>
  <si>
    <t>85</t>
  </si>
  <si>
    <t>592243480</t>
  </si>
  <si>
    <t>těsnění elastomerové pro spojení šachetních dílů EMT DN 1000</t>
  </si>
  <si>
    <t>105</t>
  </si>
  <si>
    <t>592243480-1</t>
  </si>
  <si>
    <t>těsnění elastomerové pro spojení šachetních dílů EMT DN 1500</t>
  </si>
  <si>
    <t>86</t>
  </si>
  <si>
    <t>592246610</t>
  </si>
  <si>
    <t>poklop šachtový D1 /betonová výplň+ litina/ D 400 - BEGU, s odvětráním</t>
  </si>
  <si>
    <t>26</t>
  </si>
  <si>
    <t>171201206</t>
  </si>
  <si>
    <t>Poplatek za skládku - ostatní zemina + kamenivo, bet.</t>
  </si>
  <si>
    <t>27</t>
  </si>
  <si>
    <t>979900-1</t>
  </si>
  <si>
    <t xml:space="preserve">Poplatek za skládku živice </t>
  </si>
  <si>
    <t>28</t>
  </si>
  <si>
    <t>R977151128</t>
  </si>
  <si>
    <t>Jádrový vrt diamantovými korunkami do D 300 mm do stavebních materiálů</t>
  </si>
  <si>
    <t>96</t>
  </si>
  <si>
    <t>120001111</t>
  </si>
  <si>
    <t>Výplň kanalizační stoky cementopopílkovou suspenzí</t>
  </si>
  <si>
    <t>97</t>
  </si>
  <si>
    <t>358315114</t>
  </si>
  <si>
    <t>Bourání stoky kompletní nebo otvorů z prostého betonu plochy do 4 m2</t>
  </si>
  <si>
    <t>98</t>
  </si>
  <si>
    <t>899103211</t>
  </si>
  <si>
    <t>Demontáž poklopů litinových nebo ocelových včetně rámů hmotnosti přes 100 do 150 kg</t>
  </si>
  <si>
    <t>29</t>
  </si>
  <si>
    <t>997002511</t>
  </si>
  <si>
    <t>Vodorovné přemístění suti a vybouraných hmot bez naložení ale se složením a urovnáním do 1 km</t>
  </si>
  <si>
    <t>30</t>
  </si>
  <si>
    <t>997002519</t>
  </si>
  <si>
    <t>Příplatek ZKD 1 km přemístění suti a vybouraných hmot</t>
  </si>
  <si>
    <t>113</t>
  </si>
  <si>
    <t>998275101</t>
  </si>
  <si>
    <t>Přesun hmot pro trubní vedení z trub kameninových otevřený výkop</t>
  </si>
  <si>
    <t>32</t>
  </si>
  <si>
    <t>460030152</t>
  </si>
  <si>
    <t>Odstranění podkladu nebo krytu komunikace z kameniva drceného tloušťky do 20 cm</t>
  </si>
  <si>
    <t>34</t>
  </si>
  <si>
    <t>460030173</t>
  </si>
  <si>
    <t>Odstranění podkladu nebo krytu komunikace ze živice tloušťky do 15 cm</t>
  </si>
  <si>
    <t>35</t>
  </si>
  <si>
    <t>460030192</t>
  </si>
  <si>
    <t>Řezání podkladu nebo krytu živičného tloušťky do 10 cm</t>
  </si>
  <si>
    <t>5</t>
  </si>
  <si>
    <t>36</t>
  </si>
  <si>
    <t>0112</t>
  </si>
  <si>
    <t>Vytýčení sítí v terénu</t>
  </si>
  <si>
    <t>kpl</t>
  </si>
  <si>
    <t>1024</t>
  </si>
  <si>
    <t>37</t>
  </si>
  <si>
    <t>012303000</t>
  </si>
  <si>
    <t>Geodetické práce po výstavbě</t>
  </si>
  <si>
    <t>38</t>
  </si>
  <si>
    <t>39</t>
  </si>
  <si>
    <t>R013264000</t>
  </si>
  <si>
    <t>Dokumentace dopravního značení</t>
  </si>
  <si>
    <t>40</t>
  </si>
  <si>
    <t>0110</t>
  </si>
  <si>
    <t>Dočasné dopravní značení (instalace, revize, údržba, demontáž)</t>
  </si>
  <si>
    <t>512</t>
  </si>
  <si>
    <t>41</t>
  </si>
  <si>
    <t>034203000</t>
  </si>
  <si>
    <t xml:space="preserve">Přenosné oplocení výkopu </t>
  </si>
  <si>
    <t>822 12</t>
  </si>
  <si>
    <t>zkoušky a revize</t>
  </si>
  <si>
    <t>17 05 04</t>
  </si>
  <si>
    <t>čistá výkopová zemina-odkop (I. až IV. třída těžitelnosti)</t>
  </si>
  <si>
    <t>17 01 02-03</t>
  </si>
  <si>
    <t>stavební a demoliční suť (cihly, tašky, keramika)</t>
  </si>
  <si>
    <t>17 01 01</t>
  </si>
  <si>
    <t>beton z demolic objektů, základů TV</t>
  </si>
  <si>
    <t>17 02 03</t>
  </si>
  <si>
    <t>plasty z interiérů rekonstruovaných objektů</t>
  </si>
  <si>
    <t>17 04 05</t>
  </si>
  <si>
    <t>železný šrot - konstrukce, stožáry, kolej.</t>
  </si>
  <si>
    <t>16 02 14</t>
  </si>
  <si>
    <t>kg</t>
  </si>
  <si>
    <t xml:space="preserve">elektrošrot (vyřazená zařízení a přístr. nn - Al, Cu a vz. kovy) </t>
  </si>
  <si>
    <t>Montáž</t>
  </si>
  <si>
    <t>Nosný materiál</t>
  </si>
  <si>
    <t>Zemní práce dle C46M</t>
  </si>
  <si>
    <t>460010024</t>
  </si>
  <si>
    <t>Vytyčení trasy vedení kabelového podzemního v zastavěném prostoru</t>
  </si>
  <si>
    <t>km</t>
  </si>
  <si>
    <t>460030161</t>
  </si>
  <si>
    <t>Odstranění podkladu nebo krytu komunikace z betonu prostého tloušťky do 15 cm</t>
  </si>
  <si>
    <t>460030171</t>
  </si>
  <si>
    <t>Odstranění podkladu nebo krytu komunikace ze živice tloušťky do 5 cm</t>
  </si>
  <si>
    <t>460030172</t>
  </si>
  <si>
    <t>Odstranění podkladu nebo krytu komunikace ze živice tloušťky do 10 cm</t>
  </si>
  <si>
    <t>460030181</t>
  </si>
  <si>
    <t>Řezání podkladu nebo krytu betonového hloubky do 10 cm</t>
  </si>
  <si>
    <t>460030191</t>
  </si>
  <si>
    <t>Řezání podkladu nebo krytu živičného tloušťky do 5 cm</t>
  </si>
  <si>
    <t>460050704</t>
  </si>
  <si>
    <t>Hloubení nezapažených jam pro stožáry veřejného osvětlení ručně v hornině tř 4</t>
  </si>
  <si>
    <t>460080012</t>
  </si>
  <si>
    <t>Základové konstrukce z monolitického betonu C 8/10 bez bednění</t>
  </si>
  <si>
    <t>460080035</t>
  </si>
  <si>
    <t>Základové konstrukce ze ŽB tř. C 25/30</t>
  </si>
  <si>
    <t>460080112</t>
  </si>
  <si>
    <t>Bourání základu betonového se záhozem jámy sypaninou</t>
  </si>
  <si>
    <t>460080201</t>
  </si>
  <si>
    <t>Zřízení nezabudovaného bednění základových konstrukcí</t>
  </si>
  <si>
    <t>460080301</t>
  </si>
  <si>
    <t>Odstranění nezabudovaného bednění základových konstrukcí</t>
  </si>
  <si>
    <t>460120013</t>
  </si>
  <si>
    <t>Zásyp jam ručně v hornině třídy 3</t>
  </si>
  <si>
    <t>460120016</t>
  </si>
  <si>
    <t>Naložení výkopku ručně z hornin třídy 1až4</t>
  </si>
  <si>
    <t>460120082</t>
  </si>
  <si>
    <t>Uložení sypaniny do násypů zhutněných z hornin třídy 3až4</t>
  </si>
  <si>
    <t>460200164</t>
  </si>
  <si>
    <t>Hloubení kabelových nezapažených rýh ručně š 35 cm, hl 80 cm, v hornině tř 4</t>
  </si>
  <si>
    <t>460200304</t>
  </si>
  <si>
    <t>Hloubení kabelových nezapažených rýh ručně š 50 cm, hl 120 cm, v hornině tř 4</t>
  </si>
  <si>
    <t>460230414</t>
  </si>
  <si>
    <t>Odkop zeminy ručně s vodorovným přemístěním do 50 m na skládku v hornině tř 3 a 4</t>
  </si>
  <si>
    <t>460260001</t>
  </si>
  <si>
    <t>Zatažení lana do kanálu nebo tvárnicové trasy</t>
  </si>
  <si>
    <t xml:space="preserve">Pevné spojení páskových zemničů - naměření očištění konců zemničů </t>
  </si>
  <si>
    <t>460421181</t>
  </si>
  <si>
    <t>Lože kabelů z písku nebo štěrkopísku tl 10 cm nad kabel, kryté plastovou folií, š lože do 25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</si>
  <si>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</si>
  <si>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</si>
  <si>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</si>
  <si>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</si>
  <si>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460490013</t>
  </si>
  <si>
    <t>Krytí kabelů výstražnou fólií šířky 34 cm</t>
  </si>
  <si>
    <t>460510064</t>
  </si>
  <si>
    <t>Kabelové prostupy z trub plastových do rýhy s obsypem, průměru do 10 cm</t>
  </si>
  <si>
    <t>460510075</t>
  </si>
  <si>
    <t>Kabelové prostupy z trub plastových do rýhy s obetonováním, průměru do 15 cm</t>
  </si>
  <si>
    <t>460560163</t>
  </si>
  <si>
    <t>Zásyp rýh ručně šířky 35 cm, hloubky 80 cm, z horniny třídy 3</t>
  </si>
  <si>
    <t>460560304</t>
  </si>
  <si>
    <t>Zásyp rýh ručně šířky 50 cm, hloubky 120 cm, z horniny třídy 4</t>
  </si>
  <si>
    <t>460600022</t>
  </si>
  <si>
    <t>Vodorovné přemístění horniny jakékoliv třídy do 500 m</t>
  </si>
  <si>
    <t>460600031</t>
  </si>
  <si>
    <t>Příplatek k vodorovnému přemístění horniny za každých dalších 1000 m</t>
  </si>
  <si>
    <t>460600061</t>
  </si>
  <si>
    <t>Odvoz suti a vybouraných hmot do 1 km</t>
  </si>
  <si>
    <t>460600071</t>
  </si>
  <si>
    <t>Příplatek k odvozu suti a vybouraných hmot za každý další 1 km</t>
  </si>
  <si>
    <t>460620013</t>
  </si>
  <si>
    <t>Provizorní úprava terénu se zhutněním, v hornině tř 3</t>
  </si>
  <si>
    <t>460650052</t>
  </si>
  <si>
    <t>Zřízení podkladní vrstvy vozovky a chodníku ze štěrkodrti se zhutněním tloušťky do 10 cm</t>
  </si>
  <si>
    <t>460650081</t>
  </si>
  <si>
    <t>Zřízení podkladní vrstvy vozovky a chodníku z betonu prostého tloušťky do 10 cm</t>
  </si>
  <si>
    <t>460650132</t>
  </si>
  <si>
    <t>Zřízení krytu vozovky a chodníku z litého asfaltu tloušťky do 3 cm</t>
  </si>
  <si>
    <t>460650133</t>
  </si>
  <si>
    <t>Zřízení krytu vozovky a chodníku z litého asfaltu tloušťky do 5 cm</t>
  </si>
  <si>
    <t>Demontáž</t>
  </si>
  <si>
    <t xml:space="preserve">Ukončení vodičů v rozvaděči + zapojení do 35 mm2 </t>
  </si>
  <si>
    <t>210100253</t>
  </si>
  <si>
    <t>Ukončení kabelů smršťovací záklopkou nebo páskou se zapojením bez letování žíly do 4x70 mm2</t>
  </si>
  <si>
    <t>210202013</t>
  </si>
  <si>
    <t>Montáž svítidel výbojkových průmyslových stropních závěsných na výložník</t>
  </si>
  <si>
    <t>210204011</t>
  </si>
  <si>
    <t>Montáž stožárů osvětlení ocelových samostatně stojících délky do 12 m</t>
  </si>
  <si>
    <t>210204100</t>
  </si>
  <si>
    <t>Montáž výložníků osvětlení jednoramenných nástěnných hmotnosti do 35 kg</t>
  </si>
  <si>
    <t>210204103</t>
  </si>
  <si>
    <t>Montáž výložníků osvětlení jednoramenných sloupových hmotnosti do 35 kg</t>
  </si>
  <si>
    <t>210204201</t>
  </si>
  <si>
    <t>Montáž elektrovýzbroje stožárů osvětlení 1 okruh</t>
  </si>
  <si>
    <t>210290841</t>
  </si>
  <si>
    <t>Demontáž a montáž krytu na oceloplechovém rozváděči šířky do 70 cm</t>
  </si>
  <si>
    <t>210901071</t>
  </si>
  <si>
    <t>Montáž hliníkových kabelů AYKY, AMCMK, TFSP, NAYY-J-RE(-O-SM) 1kV 4x35 mm2 volně uložených</t>
  </si>
  <si>
    <t>odvoz demontovaného materiálu, mechanizmy, ukládání - Zhotovitel - původce odpadu je povinen veškerý vzniklý odpad předat osobě oprávněné k jeho převzetí podle §12 zákona č. 185/2001 Sb., o odpadech v platném znění</t>
  </si>
  <si>
    <t>210010019</t>
  </si>
  <si>
    <t>Montáž trubek plastových ohebných D 48 mm uložených volně</t>
  </si>
  <si>
    <t>210010029</t>
  </si>
  <si>
    <t>Montáž trubek plastových ohebných D 48 mm uložených pevně</t>
  </si>
  <si>
    <t>210100101</t>
  </si>
  <si>
    <t>Ukončení vodičů na svorkovnici s otevřením a uzavřením krytu včetně zapojení průřezu žíly do 16 mm2</t>
  </si>
  <si>
    <t>210100151</t>
  </si>
  <si>
    <t>Ukončení kabelů smršťovací záklopkou nebo páskou se zapojením bez letování žíly do 4x16 mm2</t>
  </si>
  <si>
    <t>210101233</t>
  </si>
  <si>
    <t>Propojení kabelů celoplastových spojkou do 1 kV venkovní smršťovací SVCZ 1až5 žíly do 4x10až16 mm2</t>
  </si>
  <si>
    <t>210120101</t>
  </si>
  <si>
    <t>Montáž pojistkových patron do 60 A se styčným kroužkem</t>
  </si>
  <si>
    <t>210202016</t>
  </si>
  <si>
    <t>Montáž svítidel výbojkových průmyslových stropních závěsných parkových na sloupek</t>
  </si>
  <si>
    <t>210204002</t>
  </si>
  <si>
    <t>Montáž stožárů osvětlení parkových ocelových</t>
  </si>
  <si>
    <t>210204202</t>
  </si>
  <si>
    <t>Montáž elektrovýzbroje stožárů osvětlení 2 okruhy</t>
  </si>
  <si>
    <t>Montáž elektrovýzbroje - resp. konektor vánoční výzdoby, osazení</t>
  </si>
  <si>
    <t>210220002</t>
  </si>
  <si>
    <t>Montáž uzemňovacích vedení vodičů FeZn pomocí svorek na povrchu drátem nebo lanem do 10 mm</t>
  </si>
  <si>
    <t>210220022</t>
  </si>
  <si>
    <t>Montáž uzemňovacího vedení vodičů FeZn pomocí svorek v zemi drátem do 10 mm ve městské zástavbě</t>
  </si>
  <si>
    <t>210220301</t>
  </si>
  <si>
    <t>Montáž svorek hromosvodných typu SS, SR 03 se 2 šrouby</t>
  </si>
  <si>
    <t>210220302</t>
  </si>
  <si>
    <t>Montáž svorek hromosvodných typu ST, SJ, SK, SZ, SR 01, 02 se 3 a více šrouby</t>
  </si>
  <si>
    <t>210220431</t>
  </si>
  <si>
    <t>Montáž vedení hromosvodné - tvarování prvků</t>
  </si>
  <si>
    <t>210810005</t>
  </si>
  <si>
    <t>Montáž měděných kabelů CYKY, CYKYD, CYKYDY, NYM, NYY, YSLY 750 V 3x1,5 mm2 uložených volně</t>
  </si>
  <si>
    <t>210810014</t>
  </si>
  <si>
    <t>Montáž měděných kabelů CYKY, CYKYD, CYKYDY, NYM, NYY, YSLY 750 V 4x16mm2 uložených volně</t>
  </si>
  <si>
    <t>210950201</t>
  </si>
  <si>
    <t>Příplatek na zatahování kabelů hmotnosti do 0,75 kg do tvárnicových tras a kolektorů</t>
  </si>
  <si>
    <t>Nátěry dle C25M</t>
  </si>
  <si>
    <t>250030052</t>
  </si>
  <si>
    <t>Oprášení povrchů průmyslového potrubí do DN 150</t>
  </si>
  <si>
    <t>250030072</t>
  </si>
  <si>
    <t>Odmaštění povrchů průmyslového potrubí do DN 150</t>
  </si>
  <si>
    <t>250030102</t>
  </si>
  <si>
    <t>Zhotovení nátěru 1 složkového základního povrchů potrubí do DN 150</t>
  </si>
  <si>
    <t>250030202</t>
  </si>
  <si>
    <t>Zhotovení nátěru 1 složkového krycího povrchů potrubí do DN 150-antiplakát</t>
  </si>
  <si>
    <t>250060012</t>
  </si>
  <si>
    <t>Písmomalířské práce číslice a písmena výšky do 100 mm</t>
  </si>
  <si>
    <t>Kabel CYKY3Jx1,5mm2, v.u + 5% prořez.</t>
  </si>
  <si>
    <t>Kabel CYKY4Jx16mm2, v.u.+ 5% prořez</t>
  </si>
  <si>
    <t>ohebná PVC trubka do 40mm - vstupy do stožárů</t>
  </si>
  <si>
    <t>pevná PVC trubka do 40mm - ochrana kabelů stoupacích vedení</t>
  </si>
  <si>
    <t>kónický žárově zinkovaný přírubový stožár 4m vč. patní desky</t>
  </si>
  <si>
    <t>kónický žárově zinkovaný stožár 5m - přeložení značení</t>
  </si>
  <si>
    <t>Svítidlo CALLA LED 34W, 4100K, 4820 lm, slitiny hliníku. Odrazná plocha nepøímého svícení (sekundární reflektor) se skládá z 208 odrazných èástí (reflektorù). LED modul obsahuje 28 výkonových LED.</t>
  </si>
  <si>
    <t>elektrovýzbroj SR722-OP/Nal,Cu</t>
  </si>
  <si>
    <t>připojovací kabel 6m s konektorem SM-059556</t>
  </si>
  <si>
    <t>kabelová spojka - souprava SVCZ 10/16</t>
  </si>
  <si>
    <t>rozdělovací hlava KSCZ 10-35</t>
  </si>
  <si>
    <t>ohebná chránička zemní DVR 75</t>
  </si>
  <si>
    <t>pevná chránička zemní do prostupů DVK 110</t>
  </si>
  <si>
    <t>zemnící drát průměr 10mm</t>
  </si>
  <si>
    <t>spojovací svorka SS</t>
  </si>
  <si>
    <t>zkušební svorka SZ</t>
  </si>
  <si>
    <t>barva základní</t>
  </si>
  <si>
    <t>kg/l</t>
  </si>
  <si>
    <t>barva vrchní RAL dle UHA - antiplakát</t>
  </si>
  <si>
    <t>mezivrstva na žárový zinek pod antiplakát</t>
  </si>
  <si>
    <t>ředidlo pro IZOL-Plastik</t>
  </si>
  <si>
    <t>l</t>
  </si>
  <si>
    <t>Zajištění beznapěťového stavu, objednání součinnosti OK, a.s.</t>
  </si>
  <si>
    <t>Nh</t>
  </si>
  <si>
    <t>Mechanismy - plošina MP10 (montáže) - 13 (demontáže)</t>
  </si>
  <si>
    <t>zednické výpomoce, začištění fasády po demontáži výložníků</t>
  </si>
  <si>
    <t>světelně-technické měření</t>
  </si>
  <si>
    <t>Digitální fotodokumentace</t>
  </si>
  <si>
    <t>Hloubení kabelových nezapažených rýh ručně š 35 cm, hl 80 cm, v hornině tř 4 - jen odbočení z hlavní tray v souběhu s SO 401 VO</t>
  </si>
  <si>
    <t>Ukončení kabelů smršťovací záklopkou nebo páskou se zapojením bez letování žíly do 4x16 (5x10) mm2</t>
  </si>
  <si>
    <t>Propojení kabelů celoplastových spojkou do 1 kV venkovní smršťovací SVCZ 1až5 žíly do 4x10až16(5x10) mm2</t>
  </si>
  <si>
    <t>210191541</t>
  </si>
  <si>
    <t>Montáž pilířů skříní PRIS, ERP</t>
  </si>
  <si>
    <t>Montáž měděných kabelů CYKY, CYKYD, CYKYDY, NYM, NYY, YSLY 750 V 4x16 (5x10)mm2 uložených volně</t>
  </si>
  <si>
    <t>Kabel CYKY5Jx10mm2, v.u.+ 5% prořez</t>
  </si>
  <si>
    <t>elektroměrový pilíř s přípojkovoou skříní</t>
  </si>
  <si>
    <t>zednické výpomoce, začištění fasády po novém vývodu kabelu</t>
  </si>
  <si>
    <t>poplatek za připojení (hlavní jištění) - 1f 16A * 200,-</t>
  </si>
  <si>
    <t>součinnost - náklady na ČEZ Distribuce, a.s.</t>
  </si>
  <si>
    <t>geodetické zaměření (3x tisk na podkladu katastr.mapy, CD) - v součinnosti se zaměřením objektu SO 401 VO</t>
  </si>
  <si>
    <t>výpočet: (15-1) x 341,41 =</t>
  </si>
  <si>
    <t>výpočet: (15-1) x 1361,22 =</t>
  </si>
  <si>
    <t>výpočet: (15-1) x 63,81 =</t>
  </si>
  <si>
    <t>výpočet: (15-1) x 28,94 =</t>
  </si>
  <si>
    <t>dtto položka 14 =</t>
  </si>
  <si>
    <t>plocha + 1% ztratné =</t>
  </si>
  <si>
    <t>Kostka drobná žulová 100/100/80</t>
  </si>
  <si>
    <t>Mramorová kostka 60/60</t>
  </si>
  <si>
    <t>pochůzí plocha; plocha odečtena z výkresu =</t>
  </si>
  <si>
    <t>vozovka Vojanova, Puchmajerova a dvojřádek; plocha odečtena z výkresu =</t>
  </si>
  <si>
    <t>šoupě =</t>
  </si>
  <si>
    <t>revizní šachtice kanalizace =</t>
  </si>
  <si>
    <t>revizní šachtice teplovodu =</t>
  </si>
  <si>
    <t>Demontáž stávajících reklamních skříní</t>
  </si>
  <si>
    <t>odvoz na technické služby</t>
  </si>
  <si>
    <t>Odvoz stávajících kovových květináčů na technické služby</t>
  </si>
  <si>
    <t>obrubník OP 6 - kolem výsadbových jam; délka odečtena z výkresu =</t>
  </si>
  <si>
    <t>Obrubník OP6 150/250</t>
  </si>
  <si>
    <t>Osaz obrub kamenného s opěrou stojatého B do betonu C20/25</t>
  </si>
  <si>
    <t>Trvalé zrušení UV</t>
  </si>
  <si>
    <t>včetně zásypu zeminou vhodnou dle ČSN 73 6133</t>
  </si>
  <si>
    <t>OP6 = délka + 1% ztratné =</t>
  </si>
  <si>
    <t>Mozaika z umělého kamene - barva šedá</t>
  </si>
  <si>
    <t>kruhová plocha - žul. kostka 160/260, tl. 160 =</t>
  </si>
  <si>
    <t>kruhová plocha - žul. kostka 160/160, tl. 160 =</t>
  </si>
  <si>
    <t>Žul. kostka 160/260, tl. 160 mm</t>
  </si>
  <si>
    <t>Žul. kostka 160/160, tl. 160 mm</t>
  </si>
  <si>
    <t>plocha / vydatnost z 1 tuny  + 1% ztratné =</t>
  </si>
  <si>
    <t>délka + 1% ztratné =</t>
  </si>
  <si>
    <t>Hladká dlažba kamenná š. 250 mm</t>
  </si>
  <si>
    <t>SO 801  -  Zeleň</t>
  </si>
  <si>
    <t xml:space="preserve"> 823 27</t>
  </si>
  <si>
    <t>823-1</t>
  </si>
  <si>
    <t>Hl.jamek s vým. 100% půdy do 2 m3 sv.1:5 vč. 20cm vrstvy štěrku 16/32 na dně</t>
  </si>
  <si>
    <t>Výsadba dřevin s balem D do 1,2 m, v rovině vč. vytvoření výsadbové mísy</t>
  </si>
  <si>
    <t>026</t>
  </si>
  <si>
    <t>Dodávka propustného pěstebního substrátu pro výměnu do jamek, vč.dopravy</t>
  </si>
  <si>
    <t>Ukotvení dřeviny 2 kůly D do 10 cm, dl. do 3 m vč. upevnění příček</t>
  </si>
  <si>
    <t xml:space="preserve">Zhotovení obalu kmene z juty, 1vrstva, v rovině </t>
  </si>
  <si>
    <t xml:space="preserve">Zalití rostlin vodou plochy do 20 m2 </t>
  </si>
  <si>
    <t xml:space="preserve">Dovoz vody pro zálivku rostlin do 6 km </t>
  </si>
  <si>
    <t>výsadba Acer campestre’Elsrijk‘=</t>
  </si>
  <si>
    <t>Acer campestre’Elsrijk</t>
  </si>
  <si>
    <t>Netkaná geotextílie - nad vrstvou drenáže - 2m2 na jámu vč.dodávky</t>
  </si>
  <si>
    <t>výpočet = 0,6*0,6*3,14*1,0*21 =</t>
  </si>
  <si>
    <t>v poměru 1,5-2kg na m3 substrátu =</t>
  </si>
  <si>
    <t>Půdní kondicionér</t>
  </si>
  <si>
    <t>KG</t>
  </si>
  <si>
    <t>výpočet = 2*21 =</t>
  </si>
  <si>
    <t>výpočet = 4*21 =</t>
  </si>
  <si>
    <t>Dodávka -  frézované impregnované kůly ke stromům dl. 3m,
vč. 12 příček/kůl a úvazků, vč.dopravy</t>
  </si>
  <si>
    <t xml:space="preserve">Rákosová rohož </t>
  </si>
  <si>
    <t>výpočet = 21*3,14*0,3*1,4 =</t>
  </si>
  <si>
    <t>výpočet = 2*21*3,14*0,3*1,4*1,1 =</t>
  </si>
  <si>
    <t>Ochrana balu - plachetka s mulčí hl. 0,1 m</t>
  </si>
  <si>
    <t>výpočet = 21*1,2*1,2 =</t>
  </si>
  <si>
    <t>výpočet = 21*0,1 =</t>
  </si>
  <si>
    <t>-------------------------------------------------------------------------------</t>
  </si>
  <si>
    <t>Zemní práce - část výsadba do mříží</t>
  </si>
  <si>
    <t>10a</t>
  </si>
  <si>
    <t>10b</t>
  </si>
  <si>
    <t>Zemní práce - část výsadba do skruží a mříží</t>
  </si>
  <si>
    <t>10a Zemní práce - část výsadba do mříží</t>
  </si>
  <si>
    <t>10b Zemní práce - část výsadba do skruží a mříží</t>
  </si>
  <si>
    <t>D+M Protiprokořeňující textilie – 2m2 na jeden strom</t>
  </si>
  <si>
    <t>výpočet = 21*2 =</t>
  </si>
  <si>
    <t>Osazení litinové mříže (dodávka součástí SO 901)</t>
  </si>
  <si>
    <t>Hloubení zapaž i nezapš šachet do 100 m3 v hor tř.4</t>
  </si>
  <si>
    <t xml:space="preserve"> výpočet = 1,6 x 1,6 x 3,0 x 3 =</t>
  </si>
  <si>
    <t>800-1</t>
  </si>
  <si>
    <t>Vodorovné přem.výkopku do 10000m1-4</t>
  </si>
  <si>
    <t>Přípl ZKD 1km přes 10 km hor 1-4</t>
  </si>
  <si>
    <t>Poplatek za uložení sypaniny na skládce (skládkovné)</t>
  </si>
  <si>
    <t>dtto položka 1 =</t>
  </si>
  <si>
    <t>výpočet: (15-10) x 23,040 =</t>
  </si>
  <si>
    <t>výpočet: 1,65 x 23,040 =</t>
  </si>
  <si>
    <t>Dodávka + osazení a upevnění ŽB skruží DN1600 hl. 3 m</t>
  </si>
  <si>
    <t>Drenáž na dně skruže - vrstva štěrku 25 cm fr. 18-28 mm na dně</t>
  </si>
  <si>
    <t>výpočet = 3 x 0,25 x 3,14 x 0,8 x 0,8 =</t>
  </si>
  <si>
    <t>výpočet = 5 m3 na jámu x 3 =</t>
  </si>
  <si>
    <t>výpočet = 2*3 =</t>
  </si>
  <si>
    <t>výpočet = 4*3 =</t>
  </si>
  <si>
    <t>výpočet = 3*3,14*0,3*1,4 =</t>
  </si>
  <si>
    <t>výpočet = 2*3*3,14*0,3*1,4*1,1 =</t>
  </si>
  <si>
    <t>výpočet = 3*1,2*1,2 =</t>
  </si>
  <si>
    <t>výpočet = 3*0,1 =</t>
  </si>
  <si>
    <t xml:space="preserve">Přesun hmot pro sadovnické a krajin. úpravy do 5km </t>
  </si>
  <si>
    <t>Pískované žulové desky š.385 mm, dl.200, 300 a 400 mm; tl. 80 mm
barvy světle šedé, tmavě šedé a pískové</t>
  </si>
  <si>
    <t>Zazdění náhonu bet. ztraceným bedněním tl.200 mm</t>
  </si>
  <si>
    <t>Zajištění dodávky vody alt. suchovod</t>
  </si>
  <si>
    <t>Přebytečná zemina - odvoz a uložení</t>
  </si>
  <si>
    <t>Mulčování rostlin tl. do 0,1 m rovina vč. opravy výsadbových mís</t>
  </si>
  <si>
    <t>dle výkresu číslo C.08-2, C.08-3 a technické zprávy:</t>
  </si>
  <si>
    <t>doplnění mulče - předpoklad 10% ročně:</t>
  </si>
  <si>
    <t>Kontrola a oprava ochrany kmínku stromů vč. vyholení kmínků</t>
  </si>
  <si>
    <t xml:space="preserve">Přihnojení stromů </t>
  </si>
  <si>
    <t xml:space="preserve">Odstranění obrostu na kmínku </t>
  </si>
  <si>
    <t>Kontrola a oprava kotvení a úvazků stromů fixační kůly, příčky</t>
  </si>
  <si>
    <t>dle Situace</t>
  </si>
  <si>
    <t>08211320</t>
  </si>
  <si>
    <t>Voda pitná - vodné</t>
  </si>
  <si>
    <t>10391100</t>
  </si>
  <si>
    <t>Kůra mulčovací vč. dopravy</t>
  </si>
  <si>
    <t>signální a varovný pásy z mozaiky z umělého kamene - barva šedá =</t>
  </si>
  <si>
    <t>lavička 1500 x 500 mm z tryskané žuly s dřevěným sedákem z tropického dřeva
dodávka a montáž</t>
  </si>
  <si>
    <t>odpadkový koš plechový s litinovým sloupkem,
dodávka a montáž, zřízení základu a kotvení</t>
  </si>
  <si>
    <t>Odpadkový koš (ulice 28.října)</t>
  </si>
  <si>
    <t>Odpadkový koš (ulice Dlouhá)</t>
  </si>
  <si>
    <t>odhad nákladů, typ bude dodatečně upřesněn investorem
dodávka a montáž, zřízení základu a připojení na rozvod vody</t>
  </si>
  <si>
    <t>litinový sloupek výšky 85 cm válcového průměru se znakem města Ostravy
dodávka a montáž, zřízení základu a kotvení</t>
  </si>
  <si>
    <t>světelná reklamní skříň z hliníkových profilů v kombinací nerezu se skleněnou výplní, dodávka a montáž, zřízení základu  z betonu C20/25 1,1 x 0,75 x 0,4 m
a kotvení</t>
  </si>
  <si>
    <t>litinový stojan na 3 kola, dodávka a montáž, zřízení základu a kotvení</t>
  </si>
  <si>
    <t>dodávka a montáž, zřízení základu a kotvení</t>
  </si>
  <si>
    <t>10c</t>
  </si>
  <si>
    <t>10c Zemní práce - 3-letá údržba</t>
  </si>
  <si>
    <t>litinové mříže skládající ze čtyř segmentů osazených do nosné konstrukce,
dodávka, osazení je součástí SO 801</t>
  </si>
  <si>
    <t>doplnění mulče - předpoklad 10% ročně  =</t>
  </si>
  <si>
    <t>zálivka 6x ročně, nové stromy: = 24*0,1*3*6 =</t>
  </si>
  <si>
    <t>dtto položka 2 =</t>
  </si>
  <si>
    <t>nové stromy - 1x ročně: =24*3 =</t>
  </si>
  <si>
    <t xml:space="preserve">nové stromy: = 24*1.5*1.5*0,1*3*0,1*1,03 = </t>
  </si>
  <si>
    <t>umělá vodící linie š. 0,4 m - umělý kámen, délka 102,7 m =</t>
  </si>
  <si>
    <t>Umělá vodící linie š. 0,4 m - umělý kámen</t>
  </si>
  <si>
    <t>hladká dlažba kamenná tl. 80, š. 250 mm =</t>
  </si>
  <si>
    <t>SO 401  -  Veřejné osvětlení</t>
  </si>
  <si>
    <t>Poplatky za uložení na skládku</t>
  </si>
  <si>
    <t>kat.č.odpadu</t>
  </si>
  <si>
    <t>digitální fotodokumentace</t>
  </si>
  <si>
    <t>SO 403  -  Přípojka reklamních panelů</t>
  </si>
  <si>
    <t>odhadovaná částka - do nabídky dát cenu 500 000,- Kč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</si>
</sst>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#,##0.00000"/>
    <numFmt numFmtId="175" formatCode="#,##0.0000"/>
    <numFmt numFmtId="176" formatCode="#,##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\ ##,000_);[Red]\([$€-2]\ #\ ##,000\)"/>
    <numFmt numFmtId="182" formatCode="dd\.mm\.yyyy"/>
    <numFmt numFmtId="183" formatCode="#,##0.00;\-#,##0.00"/>
    <numFmt numFmtId="184" formatCode="0.00%;\-0.00%"/>
    <numFmt numFmtId="185" formatCode="#,##0.00000;\-#,##0.00000"/>
    <numFmt numFmtId="186" formatCode="#,##0.000;\-#,##0.000"/>
    <numFmt numFmtId="187" formatCode="0.000"/>
    <numFmt numFmtId="188" formatCode="#,##0.00_ ;\-#,##0.00\ "/>
    <numFmt numFmtId="189" formatCode="#,##0\ &quot;Kč&quot;"/>
    <numFmt numFmtId="190" formatCode="0.0%"/>
    <numFmt numFmtId="191" formatCode="#,##0.0"/>
    <numFmt numFmtId="192" formatCode="0.000000"/>
  </numFmts>
  <fonts count="7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 CE"/>
      <family val="2"/>
    </font>
    <font>
      <sz val="8"/>
      <name val="Arial"/>
      <family val="2"/>
    </font>
    <font>
      <i/>
      <sz val="10"/>
      <name val="Arial CE"/>
      <family val="0"/>
    </font>
    <font>
      <b/>
      <sz val="10"/>
      <color indexed="23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i/>
      <sz val="9"/>
      <name val="Arial CE"/>
      <family val="0"/>
    </font>
    <font>
      <i/>
      <sz val="12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i/>
      <sz val="9"/>
      <color indexed="12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2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b/>
      <i/>
      <sz val="10"/>
      <name val="Arial CE"/>
      <family val="0"/>
    </font>
    <font>
      <u val="single"/>
      <sz val="8"/>
      <color indexed="12"/>
      <name val="Trebuchet MS"/>
      <family val="2"/>
    </font>
    <font>
      <u val="single"/>
      <sz val="10"/>
      <color indexed="12"/>
      <name val="Trebuchet MS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2"/>
      <color indexed="55"/>
      <name val="Arial CE"/>
      <family val="0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2"/>
      <color theme="0" tint="-0.3499799966812134"/>
      <name val="Arial CE"/>
      <family val="0"/>
    </font>
    <font>
      <sz val="10"/>
      <color theme="0" tint="-0.3499799966812134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0" borderId="0">
      <alignment/>
      <protection/>
    </xf>
    <xf numFmtId="0" fontId="42" fillId="0" borderId="0" applyAlignment="0"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0" borderId="0">
      <alignment/>
      <protection/>
    </xf>
    <xf numFmtId="0" fontId="12" fillId="0" borderId="0">
      <alignment vertical="top"/>
      <protection/>
    </xf>
    <xf numFmtId="0" fontId="23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1" fillId="0" borderId="0" xfId="0" applyFont="1" applyFill="1" applyAlignment="1" applyProtection="1">
      <alignment/>
      <protection/>
    </xf>
    <xf numFmtId="44" fontId="1" fillId="0" borderId="0" xfId="41" applyFont="1" applyFill="1" applyAlignment="1" applyProtection="1">
      <alignment/>
      <protection/>
    </xf>
    <xf numFmtId="9" fontId="0" fillId="0" borderId="0" xfId="41" applyNumberFormat="1" applyFont="1" applyFill="1" applyAlignment="1" applyProtection="1">
      <alignment/>
      <protection/>
    </xf>
    <xf numFmtId="44" fontId="0" fillId="0" borderId="0" xfId="4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4" fontId="0" fillId="0" borderId="0" xfId="41" applyFont="1" applyFill="1" applyAlignment="1" applyProtection="1">
      <alignment/>
      <protection/>
    </xf>
    <xf numFmtId="0" fontId="0" fillId="0" borderId="0" xfId="41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44" fontId="0" fillId="0" borderId="0" xfId="4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75" fontId="1" fillId="0" borderId="10" xfId="0" applyNumberFormat="1" applyFont="1" applyFill="1" applyBorder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4" fontId="33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 applyProtection="1">
      <alignment/>
      <protection/>
    </xf>
    <xf numFmtId="4" fontId="34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center"/>
      <protection/>
    </xf>
    <xf numFmtId="4" fontId="32" fillId="0" borderId="0" xfId="0" applyNumberFormat="1" applyFont="1" applyFill="1" applyAlignment="1" applyProtection="1">
      <alignment/>
      <protection/>
    </xf>
    <xf numFmtId="172" fontId="3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34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175" fontId="1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0" fontId="34" fillId="0" borderId="0" xfId="0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 horizontal="left"/>
      <protection/>
    </xf>
    <xf numFmtId="4" fontId="35" fillId="0" borderId="0" xfId="0" applyNumberFormat="1" applyFont="1" applyFill="1" applyAlignment="1" applyProtection="1">
      <alignment/>
      <protection/>
    </xf>
    <xf numFmtId="172" fontId="34" fillId="0" borderId="0" xfId="0" applyNumberFormat="1" applyFont="1" applyFill="1" applyAlignment="1" applyProtection="1">
      <alignment/>
      <protection/>
    </xf>
    <xf numFmtId="174" fontId="35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175" fontId="1" fillId="0" borderId="11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9" fillId="0" borderId="0" xfId="55" applyFont="1" applyFill="1" applyAlignment="1" applyProtection="1">
      <alignment horizontal="center"/>
      <protection/>
    </xf>
    <xf numFmtId="0" fontId="9" fillId="0" borderId="0" xfId="55" applyFont="1" applyFill="1" applyProtection="1">
      <alignment/>
      <protection/>
    </xf>
    <xf numFmtId="0" fontId="9" fillId="0" borderId="0" xfId="55" applyFont="1" applyFill="1" applyAlignment="1" applyProtection="1">
      <alignment horizontal="left"/>
      <protection/>
    </xf>
    <xf numFmtId="0" fontId="9" fillId="0" borderId="0" xfId="55" applyFill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4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4" fontId="30" fillId="0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4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75" fontId="1" fillId="0" borderId="10" xfId="0" applyNumberFormat="1" applyFont="1" applyBorder="1" applyAlignment="1" applyProtection="1">
      <alignment/>
      <protection/>
    </xf>
    <xf numFmtId="0" fontId="1" fillId="18" borderId="0" xfId="0" applyFont="1" applyFill="1" applyAlignment="1" applyProtection="1">
      <alignment vertical="center"/>
      <protection/>
    </xf>
    <xf numFmtId="44" fontId="1" fillId="18" borderId="0" xfId="0" applyNumberFormat="1" applyFont="1" applyFill="1" applyAlignment="1" applyProtection="1">
      <alignment vertical="center"/>
      <protection/>
    </xf>
    <xf numFmtId="0" fontId="0" fillId="18" borderId="0" xfId="0" applyFill="1" applyAlignment="1" applyProtection="1">
      <alignment vertical="center"/>
      <protection/>
    </xf>
    <xf numFmtId="175" fontId="1" fillId="18" borderId="0" xfId="0" applyNumberFormat="1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4" fontId="3" fillId="0" borderId="0" xfId="41" applyFont="1" applyAlignment="1" applyProtection="1">
      <alignment/>
      <protection/>
    </xf>
    <xf numFmtId="44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2" fontId="9" fillId="0" borderId="0" xfId="55" applyNumberFormat="1" applyFont="1" applyFill="1" applyProtection="1">
      <alignment/>
      <protection/>
    </xf>
    <xf numFmtId="0" fontId="9" fillId="0" borderId="0" xfId="55" applyFont="1" applyFill="1" applyAlignment="1" applyProtection="1">
      <alignment horizontal="left"/>
      <protection/>
    </xf>
    <xf numFmtId="4" fontId="9" fillId="0" borderId="0" xfId="55" applyNumberFormat="1" applyFill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4" fontId="0" fillId="0" borderId="0" xfId="0" applyNumberFormat="1" applyFill="1" applyAlignment="1" applyProtection="1">
      <alignment vertical="top"/>
      <protection/>
    </xf>
    <xf numFmtId="172" fontId="0" fillId="0" borderId="0" xfId="0" applyNumberFormat="1" applyFill="1" applyAlignment="1" applyProtection="1">
      <alignment vertical="top"/>
      <protection/>
    </xf>
    <xf numFmtId="174" fontId="0" fillId="0" borderId="0" xfId="0" applyNumberForma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/>
      <protection/>
    </xf>
    <xf numFmtId="174" fontId="0" fillId="0" borderId="0" xfId="0" applyNumberFormat="1" applyFont="1" applyFill="1" applyAlignment="1" applyProtection="1">
      <alignment/>
      <protection/>
    </xf>
    <xf numFmtId="0" fontId="1" fillId="18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53" applyProtection="1">
      <alignment/>
      <protection/>
    </xf>
    <xf numFmtId="0" fontId="2" fillId="0" borderId="0" xfId="53" applyFont="1" applyAlignment="1" applyProtection="1">
      <alignment vertical="top"/>
      <protection/>
    </xf>
    <xf numFmtId="0" fontId="1" fillId="0" borderId="0" xfId="53" applyFont="1" applyProtection="1">
      <alignment/>
      <protection/>
    </xf>
    <xf numFmtId="0" fontId="2" fillId="0" borderId="0" xfId="53" applyFont="1" applyProtection="1">
      <alignment/>
      <protection/>
    </xf>
    <xf numFmtId="0" fontId="1" fillId="0" borderId="0" xfId="53" applyFont="1" applyAlignment="1" applyProtection="1">
      <alignment horizontal="left"/>
      <protection/>
    </xf>
    <xf numFmtId="0" fontId="1" fillId="0" borderId="10" xfId="53" applyFont="1" applyBorder="1" applyAlignment="1" applyProtection="1">
      <alignment horizontal="center"/>
      <protection/>
    </xf>
    <xf numFmtId="0" fontId="0" fillId="0" borderId="0" xfId="53" applyFill="1" applyProtection="1">
      <alignment/>
      <protection/>
    </xf>
    <xf numFmtId="0" fontId="0" fillId="0" borderId="0" xfId="53" applyFill="1" applyProtection="1" quotePrefix="1">
      <alignment/>
      <protection/>
    </xf>
    <xf numFmtId="0" fontId="0" fillId="0" borderId="0" xfId="53" applyFill="1" applyAlignment="1" applyProtection="1">
      <alignment horizontal="right"/>
      <protection/>
    </xf>
    <xf numFmtId="44" fontId="0" fillId="0" borderId="0" xfId="41" applyFont="1" applyFill="1" applyAlignment="1" applyProtection="1">
      <alignment/>
      <protection/>
    </xf>
    <xf numFmtId="4" fontId="0" fillId="0" borderId="0" xfId="53" applyNumberFormat="1" applyFill="1" applyProtection="1">
      <alignment/>
      <protection/>
    </xf>
    <xf numFmtId="175" fontId="0" fillId="0" borderId="0" xfId="53" applyNumberFormat="1" applyFill="1" applyProtection="1">
      <alignment/>
      <protection/>
    </xf>
    <xf numFmtId="0" fontId="0" fillId="0" borderId="10" xfId="53" applyFill="1" applyBorder="1" applyProtection="1">
      <alignment/>
      <protection/>
    </xf>
    <xf numFmtId="0" fontId="1" fillId="0" borderId="10" xfId="53" applyFont="1" applyFill="1" applyBorder="1" applyProtection="1">
      <alignment/>
      <protection/>
    </xf>
    <xf numFmtId="0" fontId="1" fillId="0" borderId="10" xfId="53" applyFont="1" applyFill="1" applyBorder="1" applyAlignment="1" applyProtection="1">
      <alignment horizontal="right"/>
      <protection/>
    </xf>
    <xf numFmtId="175" fontId="1" fillId="0" borderId="10" xfId="53" applyNumberFormat="1" applyFont="1" applyFill="1" applyBorder="1" applyProtection="1">
      <alignment/>
      <protection/>
    </xf>
    <xf numFmtId="0" fontId="1" fillId="18" borderId="0" xfId="53" applyFont="1" applyFill="1" applyAlignment="1" applyProtection="1">
      <alignment vertical="center"/>
      <protection/>
    </xf>
    <xf numFmtId="44" fontId="1" fillId="18" borderId="0" xfId="53" applyNumberFormat="1" applyFont="1" applyFill="1" applyAlignment="1" applyProtection="1">
      <alignment vertical="center"/>
      <protection/>
    </xf>
    <xf numFmtId="0" fontId="0" fillId="18" borderId="0" xfId="53" applyFill="1" applyAlignment="1" applyProtection="1">
      <alignment vertical="center"/>
      <protection/>
    </xf>
    <xf numFmtId="175" fontId="1" fillId="18" borderId="0" xfId="53" applyNumberFormat="1" applyFont="1" applyFill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5" fillId="0" borderId="0" xfId="53" applyFont="1" applyAlignment="1" applyProtection="1">
      <alignment vertical="center"/>
      <protection/>
    </xf>
    <xf numFmtId="0" fontId="3" fillId="0" borderId="0" xfId="53" applyFont="1" applyFill="1" applyProtection="1">
      <alignment/>
      <protection/>
    </xf>
    <xf numFmtId="44" fontId="3" fillId="0" borderId="0" xfId="53" applyNumberFormat="1" applyFont="1" applyFill="1" applyProtection="1">
      <alignment/>
      <protection/>
    </xf>
    <xf numFmtId="4" fontId="3" fillId="0" borderId="0" xfId="53" applyNumberFormat="1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4" fontId="5" fillId="0" borderId="0" xfId="53" applyNumberFormat="1" applyFont="1" applyFill="1" applyProtection="1">
      <alignment/>
      <protection/>
    </xf>
    <xf numFmtId="44" fontId="3" fillId="0" borderId="0" xfId="41" applyFont="1" applyFill="1" applyAlignment="1" applyProtection="1">
      <alignment/>
      <protection/>
    </xf>
    <xf numFmtId="0" fontId="1" fillId="0" borderId="0" xfId="53" applyFont="1" applyFill="1" applyProtection="1">
      <alignment/>
      <protection/>
    </xf>
    <xf numFmtId="44" fontId="3" fillId="0" borderId="0" xfId="53" applyNumberFormat="1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11" fillId="0" borderId="0" xfId="53" applyFont="1" applyAlignment="1" applyProtection="1">
      <alignment horizontal="center"/>
      <protection/>
    </xf>
    <xf numFmtId="49" fontId="1" fillId="0" borderId="0" xfId="53" applyNumberFormat="1" applyFont="1" applyAlignment="1" applyProtection="1">
      <alignment horizontal="left"/>
      <protection/>
    </xf>
    <xf numFmtId="4" fontId="0" fillId="0" borderId="0" xfId="53" applyNumberFormat="1" applyProtection="1">
      <alignment/>
      <protection/>
    </xf>
    <xf numFmtId="0" fontId="0" fillId="0" borderId="0" xfId="53" applyAlignment="1" applyProtection="1">
      <alignment horizontal="center"/>
      <protection/>
    </xf>
    <xf numFmtId="0" fontId="2" fillId="0" borderId="0" xfId="53" applyFont="1" applyAlignment="1" applyProtection="1">
      <alignment horizontal="right"/>
      <protection/>
    </xf>
    <xf numFmtId="49" fontId="0" fillId="0" borderId="0" xfId="53" applyNumberFormat="1" applyAlignment="1" applyProtection="1">
      <alignment horizontal="left"/>
      <protection/>
    </xf>
    <xf numFmtId="4" fontId="0" fillId="0" borderId="0" xfId="53" applyNumberFormat="1" applyAlignment="1" applyProtection="1">
      <alignment horizontal="center"/>
      <protection/>
    </xf>
    <xf numFmtId="0" fontId="0" fillId="0" borderId="10" xfId="53" applyFill="1" applyBorder="1" applyAlignment="1" applyProtection="1">
      <alignment horizontal="center"/>
      <protection/>
    </xf>
    <xf numFmtId="49" fontId="0" fillId="0" borderId="10" xfId="53" applyNumberFormat="1" applyFill="1" applyBorder="1" applyAlignment="1" applyProtection="1">
      <alignment horizontal="left"/>
      <protection/>
    </xf>
    <xf numFmtId="4" fontId="0" fillId="0" borderId="10" xfId="53" applyNumberFormat="1" applyFill="1" applyBorder="1" applyAlignment="1" applyProtection="1">
      <alignment horizontal="center"/>
      <protection/>
    </xf>
    <xf numFmtId="0" fontId="0" fillId="0" borderId="10" xfId="53" applyBorder="1" applyAlignment="1" applyProtection="1">
      <alignment horizontal="center"/>
      <protection/>
    </xf>
    <xf numFmtId="49" fontId="0" fillId="0" borderId="0" xfId="53" applyNumberFormat="1" applyFill="1" applyAlignment="1" applyProtection="1">
      <alignment horizontal="left"/>
      <protection/>
    </xf>
    <xf numFmtId="0" fontId="0" fillId="0" borderId="0" xfId="53" applyFill="1" applyAlignment="1" applyProtection="1">
      <alignment horizontal="center"/>
      <protection/>
    </xf>
    <xf numFmtId="0" fontId="1" fillId="0" borderId="0" xfId="53" applyFont="1" applyFill="1" applyProtection="1">
      <alignment/>
      <protection/>
    </xf>
    <xf numFmtId="49" fontId="1" fillId="0" borderId="0" xfId="53" applyNumberFormat="1" applyFont="1" applyFill="1" applyAlignment="1" applyProtection="1">
      <alignment horizontal="left"/>
      <protection/>
    </xf>
    <xf numFmtId="4" fontId="1" fillId="0" borderId="0" xfId="53" applyNumberFormat="1" applyFont="1" applyFill="1" applyProtection="1">
      <alignment/>
      <protection/>
    </xf>
    <xf numFmtId="0" fontId="11" fillId="0" borderId="0" xfId="53" applyFont="1" applyFill="1" applyAlignment="1" applyProtection="1">
      <alignment horizontal="center"/>
      <protection/>
    </xf>
    <xf numFmtId="0" fontId="1" fillId="0" borderId="0" xfId="53" applyFont="1" applyFill="1" applyProtection="1" quotePrefix="1">
      <alignment/>
      <protection/>
    </xf>
    <xf numFmtId="0" fontId="0" fillId="0" borderId="0" xfId="53" applyFill="1" applyBorder="1" applyProtection="1">
      <alignment/>
      <protection/>
    </xf>
    <xf numFmtId="0" fontId="0" fillId="0" borderId="0" xfId="53" applyFont="1" applyFill="1" applyAlignment="1" applyProtection="1">
      <alignment horizontal="left"/>
      <protection/>
    </xf>
    <xf numFmtId="4" fontId="0" fillId="0" borderId="0" xfId="53" applyNumberFormat="1" applyFont="1" applyFill="1" applyProtection="1">
      <alignment/>
      <protection/>
    </xf>
    <xf numFmtId="0" fontId="0" fillId="0" borderId="0" xfId="53" applyFont="1" applyFill="1" applyAlignment="1" applyProtection="1">
      <alignment horizontal="center"/>
      <protection/>
    </xf>
    <xf numFmtId="172" fontId="0" fillId="0" borderId="0" xfId="53" applyNumberFormat="1" applyFont="1" applyFill="1" applyProtection="1">
      <alignment/>
      <protection/>
    </xf>
    <xf numFmtId="174" fontId="0" fillId="0" borderId="0" xfId="53" applyNumberFormat="1" applyFill="1" applyProtection="1">
      <alignment/>
      <protection/>
    </xf>
    <xf numFmtId="0" fontId="11" fillId="0" borderId="0" xfId="53" applyFont="1" applyFill="1" applyAlignment="1" applyProtection="1">
      <alignment horizontal="center"/>
      <protection/>
    </xf>
    <xf numFmtId="0" fontId="32" fillId="0" borderId="0" xfId="53" applyFont="1" applyFill="1" applyAlignment="1" applyProtection="1">
      <alignment horizontal="justify" wrapText="1"/>
      <protection/>
    </xf>
    <xf numFmtId="172" fontId="0" fillId="0" borderId="0" xfId="53" applyNumberFormat="1" applyFill="1" applyProtection="1">
      <alignment/>
      <protection/>
    </xf>
    <xf numFmtId="49" fontId="0" fillId="0" borderId="0" xfId="53" applyNumberFormat="1" applyFont="1" applyFill="1" applyAlignment="1" applyProtection="1">
      <alignment horizontal="left"/>
      <protection/>
    </xf>
    <xf numFmtId="0" fontId="0" fillId="0" borderId="0" xfId="53" applyFont="1" applyFill="1" applyProtection="1">
      <alignment/>
      <protection/>
    </xf>
    <xf numFmtId="0" fontId="32" fillId="0" borderId="0" xfId="53" applyFont="1" applyFill="1" applyBorder="1" applyAlignment="1" applyProtection="1">
      <alignment horizontal="justify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11" xfId="53" applyFont="1" applyFill="1" applyBorder="1" applyAlignment="1" applyProtection="1">
      <alignment horizontal="right"/>
      <protection/>
    </xf>
    <xf numFmtId="4" fontId="1" fillId="0" borderId="11" xfId="53" applyNumberFormat="1" applyFont="1" applyFill="1" applyBorder="1" applyProtection="1">
      <alignment/>
      <protection/>
    </xf>
    <xf numFmtId="0" fontId="1" fillId="0" borderId="11" xfId="53" applyFont="1" applyFill="1" applyBorder="1" applyProtection="1">
      <alignment/>
      <protection/>
    </xf>
    <xf numFmtId="175" fontId="1" fillId="0" borderId="11" xfId="53" applyNumberFormat="1" applyFont="1" applyFill="1" applyBorder="1" applyProtection="1">
      <alignment/>
      <protection/>
    </xf>
    <xf numFmtId="0" fontId="1" fillId="0" borderId="0" xfId="53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ill="1" applyAlignment="1" applyProtection="1">
      <alignment horizontal="left"/>
      <protection/>
    </xf>
    <xf numFmtId="4" fontId="0" fillId="0" borderId="10" xfId="53" applyNumberFormat="1" applyFill="1" applyBorder="1" applyProtection="1">
      <alignment/>
      <protection/>
    </xf>
    <xf numFmtId="49" fontId="3" fillId="0" borderId="0" xfId="53" applyNumberFormat="1" applyFont="1" applyFill="1" applyAlignment="1" applyProtection="1">
      <alignment horizontal="left"/>
      <protection/>
    </xf>
    <xf numFmtId="0" fontId="3" fillId="0" borderId="0" xfId="53" applyFont="1" applyFill="1" applyAlignment="1" applyProtection="1">
      <alignment horizontal="center"/>
      <protection/>
    </xf>
    <xf numFmtId="0" fontId="30" fillId="0" borderId="0" xfId="53" applyFont="1" applyFill="1" applyProtection="1">
      <alignment/>
      <protection/>
    </xf>
    <xf numFmtId="4" fontId="30" fillId="0" borderId="0" xfId="53" applyNumberFormat="1" applyFont="1" applyFill="1" applyProtection="1">
      <alignment/>
      <protection/>
    </xf>
    <xf numFmtId="4" fontId="10" fillId="0" borderId="0" xfId="53" applyNumberFormat="1" applyFont="1" applyFill="1" applyProtection="1">
      <alignment/>
      <protection/>
    </xf>
    <xf numFmtId="44" fontId="0" fillId="0" borderId="0" xfId="4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justify"/>
    </xf>
    <xf numFmtId="4" fontId="9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justify"/>
    </xf>
    <xf numFmtId="4" fontId="9" fillId="0" borderId="0" xfId="0" applyNumberFormat="1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42" fillId="7" borderId="0" xfId="50" applyFont="1" applyFill="1" applyAlignment="1" applyProtection="1">
      <alignment horizontal="left" vertical="top"/>
      <protection/>
    </xf>
    <xf numFmtId="0" fontId="43" fillId="7" borderId="0" xfId="50" applyFont="1" applyFill="1" applyAlignment="1" applyProtection="1">
      <alignment horizontal="left" vertical="center"/>
      <protection/>
    </xf>
    <xf numFmtId="0" fontId="44" fillId="7" borderId="0" xfId="50" applyFont="1" applyFill="1" applyAlignment="1" applyProtection="1">
      <alignment horizontal="left" vertical="center"/>
      <protection/>
    </xf>
    <xf numFmtId="0" fontId="70" fillId="7" borderId="0" xfId="37" applyFont="1" applyFill="1" applyAlignment="1" applyProtection="1">
      <alignment horizontal="left" vertical="center"/>
      <protection/>
    </xf>
    <xf numFmtId="0" fontId="42" fillId="7" borderId="0" xfId="50" applyFont="1" applyFill="1" applyAlignment="1">
      <alignment horizontal="left" vertical="top"/>
      <protection locked="0"/>
    </xf>
    <xf numFmtId="0" fontId="42" fillId="7" borderId="0" xfId="50" applyFill="1" applyAlignment="1">
      <alignment horizontal="left" vertical="top"/>
      <protection locked="0"/>
    </xf>
    <xf numFmtId="0" fontId="42" fillId="0" borderId="0" xfId="50" applyAlignment="1">
      <alignment horizontal="left" vertical="top"/>
      <protection locked="0"/>
    </xf>
    <xf numFmtId="0" fontId="42" fillId="0" borderId="0" xfId="50" applyFont="1" applyAlignment="1">
      <alignment horizontal="left" vertical="top"/>
      <protection locked="0"/>
    </xf>
    <xf numFmtId="0" fontId="42" fillId="0" borderId="0" xfId="50" applyFont="1" applyAlignment="1">
      <alignment horizontal="left" vertical="center"/>
      <protection locked="0"/>
    </xf>
    <xf numFmtId="0" fontId="42" fillId="0" borderId="12" xfId="50" applyBorder="1" applyAlignment="1">
      <alignment horizontal="left" vertical="top"/>
      <protection locked="0"/>
    </xf>
    <xf numFmtId="0" fontId="42" fillId="0" borderId="13" xfId="50" applyBorder="1" applyAlignment="1">
      <alignment horizontal="left" vertical="top"/>
      <protection locked="0"/>
    </xf>
    <xf numFmtId="0" fontId="42" fillId="0" borderId="14" xfId="50" applyBorder="1" applyAlignment="1">
      <alignment horizontal="left" vertical="top"/>
      <protection locked="0"/>
    </xf>
    <xf numFmtId="0" fontId="42" fillId="0" borderId="15" xfId="50" applyBorder="1" applyAlignment="1">
      <alignment horizontal="left" vertical="top"/>
      <protection locked="0"/>
    </xf>
    <xf numFmtId="0" fontId="42" fillId="0" borderId="16" xfId="50" applyBorder="1" applyAlignment="1">
      <alignment horizontal="left" vertical="top"/>
      <protection locked="0"/>
    </xf>
    <xf numFmtId="0" fontId="45" fillId="0" borderId="0" xfId="50" applyFont="1" applyAlignment="1">
      <alignment horizontal="left" vertical="center"/>
      <protection locked="0"/>
    </xf>
    <xf numFmtId="0" fontId="42" fillId="0" borderId="15" xfId="50" applyBorder="1" applyAlignment="1">
      <alignment horizontal="left" vertical="center"/>
      <protection locked="0"/>
    </xf>
    <xf numFmtId="0" fontId="47" fillId="0" borderId="0" xfId="50" applyFont="1" applyAlignment="1">
      <alignment horizontal="left" vertical="top"/>
      <protection locked="0"/>
    </xf>
    <xf numFmtId="0" fontId="42" fillId="0" borderId="16" xfId="50" applyBorder="1" applyAlignment="1">
      <alignment horizontal="left" vertical="center"/>
      <protection locked="0"/>
    </xf>
    <xf numFmtId="0" fontId="48" fillId="0" borderId="0" xfId="50" applyFont="1" applyAlignment="1">
      <alignment horizontal="left" vertical="center"/>
      <protection locked="0"/>
    </xf>
    <xf numFmtId="0" fontId="49" fillId="0" borderId="0" xfId="50" applyFont="1" applyAlignment="1">
      <alignment horizontal="left" vertical="center"/>
      <protection locked="0"/>
    </xf>
    <xf numFmtId="0" fontId="42" fillId="0" borderId="17" xfId="50" applyBorder="1" applyAlignment="1">
      <alignment horizontal="left" vertical="center"/>
      <protection locked="0"/>
    </xf>
    <xf numFmtId="0" fontId="43" fillId="0" borderId="0" xfId="50" applyFont="1" applyAlignment="1">
      <alignment horizontal="left" vertical="center"/>
      <protection locked="0"/>
    </xf>
    <xf numFmtId="0" fontId="50" fillId="0" borderId="0" xfId="50" applyFont="1" applyAlignment="1">
      <alignment horizontal="left" vertical="center"/>
      <protection locked="0"/>
    </xf>
    <xf numFmtId="0" fontId="51" fillId="0" borderId="0" xfId="50" applyFont="1" applyAlignment="1">
      <alignment horizontal="left" vertical="center"/>
      <protection locked="0"/>
    </xf>
    <xf numFmtId="0" fontId="52" fillId="0" borderId="0" xfId="50" applyFont="1" applyAlignment="1">
      <alignment horizontal="left" vertical="center"/>
      <protection locked="0"/>
    </xf>
    <xf numFmtId="184" fontId="52" fillId="0" borderId="0" xfId="50" applyNumberFormat="1" applyFont="1" applyAlignment="1">
      <alignment horizontal="right" vertical="center"/>
      <protection locked="0"/>
    </xf>
    <xf numFmtId="0" fontId="52" fillId="0" borderId="0" xfId="50" applyFont="1" applyAlignment="1">
      <alignment horizontal="right" vertical="center"/>
      <protection locked="0"/>
    </xf>
    <xf numFmtId="0" fontId="42" fillId="18" borderId="0" xfId="50" applyFill="1" applyAlignment="1">
      <alignment horizontal="left" vertical="center"/>
      <protection locked="0"/>
    </xf>
    <xf numFmtId="0" fontId="47" fillId="18" borderId="18" xfId="50" applyFont="1" applyFill="1" applyBorder="1" applyAlignment="1">
      <alignment horizontal="left" vertical="center"/>
      <protection locked="0"/>
    </xf>
    <xf numFmtId="0" fontId="42" fillId="18" borderId="19" xfId="50" applyFill="1" applyBorder="1" applyAlignment="1">
      <alignment horizontal="left" vertical="center"/>
      <protection locked="0"/>
    </xf>
    <xf numFmtId="0" fontId="47" fillId="18" borderId="19" xfId="50" applyFont="1" applyFill="1" applyBorder="1" applyAlignment="1">
      <alignment horizontal="right" vertical="center"/>
      <protection locked="0"/>
    </xf>
    <xf numFmtId="0" fontId="47" fillId="18" borderId="19" xfId="50" applyFont="1" applyFill="1" applyBorder="1" applyAlignment="1">
      <alignment horizontal="center" vertical="center"/>
      <protection locked="0"/>
    </xf>
    <xf numFmtId="0" fontId="53" fillId="0" borderId="20" xfId="50" applyFont="1" applyBorder="1" applyAlignment="1">
      <alignment horizontal="left" vertical="center"/>
      <protection locked="0"/>
    </xf>
    <xf numFmtId="0" fontId="42" fillId="0" borderId="21" xfId="50" applyBorder="1" applyAlignment="1">
      <alignment horizontal="left" vertical="center"/>
      <protection locked="0"/>
    </xf>
    <xf numFmtId="0" fontId="42" fillId="0" borderId="22" xfId="50" applyBorder="1" applyAlignment="1">
      <alignment horizontal="left" vertical="top"/>
      <protection locked="0"/>
    </xf>
    <xf numFmtId="0" fontId="42" fillId="0" borderId="23" xfId="50" applyBorder="1" applyAlignment="1">
      <alignment horizontal="left" vertical="top"/>
      <protection locked="0"/>
    </xf>
    <xf numFmtId="0" fontId="54" fillId="0" borderId="24" xfId="50" applyFont="1" applyBorder="1" applyAlignment="1">
      <alignment horizontal="left" vertical="center"/>
      <protection locked="0"/>
    </xf>
    <xf numFmtId="0" fontId="42" fillId="0" borderId="25" xfId="50" applyBorder="1" applyAlignment="1">
      <alignment horizontal="left" vertical="center"/>
      <protection locked="0"/>
    </xf>
    <xf numFmtId="0" fontId="54" fillId="0" borderId="25" xfId="50" applyFont="1" applyBorder="1" applyAlignment="1">
      <alignment horizontal="left" vertical="center"/>
      <protection locked="0"/>
    </xf>
    <xf numFmtId="0" fontId="42" fillId="0" borderId="26" xfId="50" applyBorder="1" applyAlignment="1">
      <alignment horizontal="left" vertical="center"/>
      <protection locked="0"/>
    </xf>
    <xf numFmtId="0" fontId="42" fillId="0" borderId="27" xfId="50" applyBorder="1" applyAlignment="1">
      <alignment horizontal="left" vertical="center"/>
      <protection locked="0"/>
    </xf>
    <xf numFmtId="0" fontId="42" fillId="0" borderId="28" xfId="50" applyBorder="1" applyAlignment="1">
      <alignment horizontal="left" vertical="center"/>
      <protection locked="0"/>
    </xf>
    <xf numFmtId="0" fontId="42" fillId="0" borderId="29" xfId="50" applyBorder="1" applyAlignment="1">
      <alignment horizontal="left" vertical="center"/>
      <protection locked="0"/>
    </xf>
    <xf numFmtId="0" fontId="42" fillId="0" borderId="12" xfId="50" applyBorder="1" applyAlignment="1">
      <alignment horizontal="left" vertical="center"/>
      <protection locked="0"/>
    </xf>
    <xf numFmtId="0" fontId="42" fillId="0" borderId="13" xfId="50" applyBorder="1" applyAlignment="1">
      <alignment horizontal="left" vertical="center"/>
      <protection locked="0"/>
    </xf>
    <xf numFmtId="0" fontId="42" fillId="0" borderId="14" xfId="50" applyBorder="1" applyAlignment="1">
      <alignment horizontal="left" vertical="center"/>
      <protection locked="0"/>
    </xf>
    <xf numFmtId="0" fontId="47" fillId="0" borderId="0" xfId="50" applyFont="1" applyAlignment="1">
      <alignment horizontal="left" vertical="center"/>
      <protection locked="0"/>
    </xf>
    <xf numFmtId="0" fontId="55" fillId="0" borderId="0" xfId="50" applyFont="1" applyAlignment="1">
      <alignment horizontal="left" vertical="center"/>
      <protection locked="0"/>
    </xf>
    <xf numFmtId="0" fontId="56" fillId="0" borderId="15" xfId="50" applyFont="1" applyBorder="1" applyAlignment="1">
      <alignment horizontal="left" vertical="center"/>
      <protection locked="0"/>
    </xf>
    <xf numFmtId="0" fontId="57" fillId="0" borderId="0" xfId="50" applyFont="1" applyAlignment="1">
      <alignment horizontal="left" vertical="center"/>
      <protection locked="0"/>
    </xf>
    <xf numFmtId="0" fontId="56" fillId="0" borderId="0" xfId="50" applyFont="1" applyAlignment="1">
      <alignment horizontal="left" vertical="center"/>
      <protection locked="0"/>
    </xf>
    <xf numFmtId="0" fontId="56" fillId="0" borderId="16" xfId="50" applyFont="1" applyBorder="1" applyAlignment="1">
      <alignment horizontal="left" vertical="center"/>
      <protection locked="0"/>
    </xf>
    <xf numFmtId="0" fontId="59" fillId="0" borderId="15" xfId="50" applyFont="1" applyBorder="1" applyAlignment="1">
      <alignment horizontal="left" vertical="center"/>
      <protection locked="0"/>
    </xf>
    <xf numFmtId="0" fontId="59" fillId="0" borderId="0" xfId="50" applyFont="1" applyAlignment="1">
      <alignment horizontal="left" vertical="center"/>
      <protection locked="0"/>
    </xf>
    <xf numFmtId="0" fontId="59" fillId="0" borderId="16" xfId="50" applyFont="1" applyBorder="1" applyAlignment="1">
      <alignment horizontal="left" vertical="center"/>
      <protection locked="0"/>
    </xf>
    <xf numFmtId="0" fontId="42" fillId="0" borderId="30" xfId="50" applyBorder="1" applyAlignment="1">
      <alignment horizontal="left" vertical="center"/>
      <protection locked="0"/>
    </xf>
    <xf numFmtId="0" fontId="48" fillId="0" borderId="30" xfId="50" applyFont="1" applyBorder="1" applyAlignment="1">
      <alignment horizontal="center" vertical="center"/>
      <protection locked="0"/>
    </xf>
    <xf numFmtId="0" fontId="55" fillId="18" borderId="0" xfId="50" applyFont="1" applyFill="1" applyAlignment="1">
      <alignment horizontal="left" vertical="center"/>
      <protection locked="0"/>
    </xf>
    <xf numFmtId="0" fontId="42" fillId="0" borderId="15" xfId="50" applyBorder="1" applyAlignment="1">
      <alignment horizontal="center" vertical="center" wrapText="1"/>
      <protection locked="0"/>
    </xf>
    <xf numFmtId="0" fontId="49" fillId="18" borderId="31" xfId="50" applyFont="1" applyFill="1" applyBorder="1" applyAlignment="1">
      <alignment horizontal="center" vertical="center" wrapText="1"/>
      <protection locked="0"/>
    </xf>
    <xf numFmtId="0" fontId="49" fillId="18" borderId="32" xfId="50" applyFont="1" applyFill="1" applyBorder="1" applyAlignment="1">
      <alignment horizontal="center" vertical="center" wrapText="1"/>
      <protection locked="0"/>
    </xf>
    <xf numFmtId="0" fontId="42" fillId="0" borderId="16" xfId="50" applyBorder="1" applyAlignment="1">
      <alignment horizontal="center" vertical="center" wrapText="1"/>
      <protection locked="0"/>
    </xf>
    <xf numFmtId="0" fontId="42" fillId="0" borderId="0" xfId="50" applyFont="1" applyAlignment="1">
      <alignment horizontal="center" vertical="center" wrapText="1"/>
      <protection locked="0"/>
    </xf>
    <xf numFmtId="0" fontId="48" fillId="0" borderId="31" xfId="50" applyFont="1" applyBorder="1" applyAlignment="1">
      <alignment horizontal="center" vertical="center" wrapText="1"/>
      <protection locked="0"/>
    </xf>
    <xf numFmtId="0" fontId="48" fillId="0" borderId="32" xfId="50" applyFont="1" applyBorder="1" applyAlignment="1">
      <alignment horizontal="center" vertical="center" wrapText="1"/>
      <protection locked="0"/>
    </xf>
    <xf numFmtId="0" fontId="48" fillId="0" borderId="33" xfId="50" applyFont="1" applyBorder="1" applyAlignment="1">
      <alignment horizontal="center" vertical="center" wrapText="1"/>
      <protection locked="0"/>
    </xf>
    <xf numFmtId="0" fontId="42" fillId="0" borderId="20" xfId="50" applyBorder="1" applyAlignment="1">
      <alignment horizontal="left" vertical="center"/>
      <protection locked="0"/>
    </xf>
    <xf numFmtId="185" fontId="60" fillId="0" borderId="17" xfId="50" applyNumberFormat="1" applyFont="1" applyBorder="1" applyAlignment="1">
      <alignment horizontal="right"/>
      <protection locked="0"/>
    </xf>
    <xf numFmtId="185" fontId="60" fillId="0" borderId="21" xfId="50" applyNumberFormat="1" applyFont="1" applyBorder="1" applyAlignment="1">
      <alignment horizontal="right"/>
      <protection locked="0"/>
    </xf>
    <xf numFmtId="183" fontId="61" fillId="0" borderId="0" xfId="50" applyNumberFormat="1" applyFont="1" applyAlignment="1">
      <alignment horizontal="right" vertical="center"/>
      <protection locked="0"/>
    </xf>
    <xf numFmtId="0" fontId="58" fillId="0" borderId="15" xfId="50" applyFont="1" applyBorder="1" applyAlignment="1">
      <alignment horizontal="left"/>
      <protection locked="0"/>
    </xf>
    <xf numFmtId="0" fontId="42" fillId="0" borderId="0" xfId="50" applyFont="1" applyAlignment="1">
      <alignment horizontal="left"/>
      <protection locked="0"/>
    </xf>
    <xf numFmtId="0" fontId="56" fillId="0" borderId="0" xfId="50" applyFont="1" applyAlignment="1">
      <alignment horizontal="left"/>
      <protection locked="0"/>
    </xf>
    <xf numFmtId="0" fontId="58" fillId="0" borderId="0" xfId="50" applyFont="1" applyAlignment="1">
      <alignment horizontal="left"/>
      <protection locked="0"/>
    </xf>
    <xf numFmtId="0" fontId="58" fillId="0" borderId="16" xfId="50" applyFont="1" applyBorder="1" applyAlignment="1">
      <alignment horizontal="left"/>
      <protection locked="0"/>
    </xf>
    <xf numFmtId="0" fontId="58" fillId="0" borderId="22" xfId="50" applyFont="1" applyBorder="1" applyAlignment="1">
      <alignment horizontal="left"/>
      <protection locked="0"/>
    </xf>
    <xf numFmtId="185" fontId="58" fillId="0" borderId="0" xfId="50" applyNumberFormat="1" applyFont="1" applyAlignment="1">
      <alignment horizontal="right"/>
      <protection locked="0"/>
    </xf>
    <xf numFmtId="185" fontId="58" fillId="0" borderId="23" xfId="50" applyNumberFormat="1" applyFont="1" applyBorder="1" applyAlignment="1">
      <alignment horizontal="right"/>
      <protection locked="0"/>
    </xf>
    <xf numFmtId="183" fontId="58" fillId="0" borderId="0" xfId="50" applyNumberFormat="1" applyFont="1" applyAlignment="1">
      <alignment horizontal="right" vertical="center"/>
      <protection locked="0"/>
    </xf>
    <xf numFmtId="0" fontId="59" fillId="0" borderId="0" xfId="50" applyFont="1" applyAlignment="1">
      <alignment horizontal="left"/>
      <protection locked="0"/>
    </xf>
    <xf numFmtId="0" fontId="42" fillId="0" borderId="30" xfId="50" applyFont="1" applyBorder="1" applyAlignment="1">
      <alignment horizontal="center" vertical="center"/>
      <protection locked="0"/>
    </xf>
    <xf numFmtId="49" fontId="42" fillId="0" borderId="30" xfId="50" applyNumberFormat="1" applyFont="1" applyBorder="1" applyAlignment="1">
      <alignment horizontal="left" vertical="center" wrapText="1"/>
      <protection locked="0"/>
    </xf>
    <xf numFmtId="0" fontId="42" fillId="0" borderId="30" xfId="50" applyFont="1" applyBorder="1" applyAlignment="1">
      <alignment horizontal="center" vertical="center" wrapText="1"/>
      <protection locked="0"/>
    </xf>
    <xf numFmtId="186" fontId="42" fillId="0" borderId="30" xfId="50" applyNumberFormat="1" applyFont="1" applyBorder="1" applyAlignment="1">
      <alignment horizontal="right" vertical="center"/>
      <protection locked="0"/>
    </xf>
    <xf numFmtId="0" fontId="52" fillId="0" borderId="30" xfId="50" applyFont="1" applyBorder="1" applyAlignment="1">
      <alignment horizontal="left" vertical="center"/>
      <protection locked="0"/>
    </xf>
    <xf numFmtId="0" fontId="52" fillId="0" borderId="0" xfId="50" applyFont="1" applyAlignment="1">
      <alignment horizontal="center" vertical="center"/>
      <protection locked="0"/>
    </xf>
    <xf numFmtId="185" fontId="52" fillId="0" borderId="0" xfId="50" applyNumberFormat="1" applyFont="1" applyAlignment="1">
      <alignment horizontal="right" vertical="center"/>
      <protection locked="0"/>
    </xf>
    <xf numFmtId="185" fontId="52" fillId="0" borderId="23" xfId="50" applyNumberFormat="1" applyFont="1" applyBorder="1" applyAlignment="1">
      <alignment horizontal="right" vertical="center"/>
      <protection locked="0"/>
    </xf>
    <xf numFmtId="183" fontId="42" fillId="0" borderId="0" xfId="50" applyNumberFormat="1" applyFont="1" applyAlignment="1">
      <alignment horizontal="right" vertical="center"/>
      <protection locked="0"/>
    </xf>
    <xf numFmtId="0" fontId="62" fillId="0" borderId="30" xfId="50" applyFont="1" applyBorder="1" applyAlignment="1">
      <alignment horizontal="center" vertical="center"/>
      <protection locked="0"/>
    </xf>
    <xf numFmtId="49" fontId="62" fillId="0" borderId="30" xfId="50" applyNumberFormat="1" applyFont="1" applyBorder="1" applyAlignment="1">
      <alignment horizontal="left" vertical="center" wrapText="1"/>
      <protection locked="0"/>
    </xf>
    <xf numFmtId="0" fontId="62" fillId="0" borderId="30" xfId="50" applyFont="1" applyBorder="1" applyAlignment="1">
      <alignment horizontal="center" vertical="center" wrapText="1"/>
      <protection locked="0"/>
    </xf>
    <xf numFmtId="186" fontId="62" fillId="0" borderId="30" xfId="50" applyNumberFormat="1" applyFont="1" applyBorder="1" applyAlignment="1">
      <alignment horizontal="right" vertical="center"/>
      <protection locked="0"/>
    </xf>
    <xf numFmtId="0" fontId="52" fillId="0" borderId="25" xfId="50" applyFont="1" applyBorder="1" applyAlignment="1">
      <alignment horizontal="center" vertical="center"/>
      <protection locked="0"/>
    </xf>
    <xf numFmtId="185" fontId="52" fillId="0" borderId="25" xfId="50" applyNumberFormat="1" applyFont="1" applyBorder="1" applyAlignment="1">
      <alignment horizontal="right" vertical="center"/>
      <protection locked="0"/>
    </xf>
    <xf numFmtId="185" fontId="52" fillId="0" borderId="26" xfId="50" applyNumberFormat="1" applyFont="1" applyBorder="1" applyAlignment="1">
      <alignment horizontal="right" vertical="center"/>
      <protection locked="0"/>
    </xf>
    <xf numFmtId="0" fontId="0" fillId="0" borderId="0" xfId="0" applyFill="1" applyAlignment="1" applyProtection="1">
      <alignment horizontal="left" vertical="top" wrapText="1"/>
      <protection/>
    </xf>
    <xf numFmtId="176" fontId="34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176" fontId="35" fillId="0" borderId="0" xfId="0" applyNumberFormat="1" applyFont="1" applyFill="1" applyAlignment="1" applyProtection="1">
      <alignment horizontal="right" vertical="top"/>
      <protection/>
    </xf>
    <xf numFmtId="176" fontId="0" fillId="0" borderId="0" xfId="0" applyNumberFormat="1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2" fontId="0" fillId="0" borderId="0" xfId="0" applyNumberFormat="1" applyFill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/>
      <protection/>
    </xf>
    <xf numFmtId="176" fontId="1" fillId="0" borderId="0" xfId="0" applyNumberFormat="1" applyFont="1" applyFill="1" applyAlignment="1" applyProtection="1">
      <alignment/>
      <protection/>
    </xf>
    <xf numFmtId="176" fontId="34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38" fillId="0" borderId="0" xfId="0" applyNumberFormat="1" applyFont="1" applyFill="1" applyAlignment="1" applyProtection="1">
      <alignment horizontal="left" vertical="top"/>
      <protection/>
    </xf>
    <xf numFmtId="176" fontId="9" fillId="0" borderId="0" xfId="55" applyNumberFormat="1" applyFont="1" applyFill="1" applyProtection="1">
      <alignment/>
      <protection/>
    </xf>
    <xf numFmtId="176" fontId="32" fillId="0" borderId="0" xfId="0" applyNumberFormat="1" applyFon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176" fontId="1" fillId="0" borderId="11" xfId="0" applyNumberFormat="1" applyFont="1" applyFill="1" applyBorder="1" applyAlignment="1" applyProtection="1">
      <alignment horizontal="left"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Alignment="1" applyProtection="1">
      <alignment vertical="top"/>
      <protection/>
    </xf>
    <xf numFmtId="176" fontId="9" fillId="0" borderId="0" xfId="55" applyNumberFormat="1" applyFill="1" applyProtection="1">
      <alignment/>
      <protection/>
    </xf>
    <xf numFmtId="176" fontId="1" fillId="0" borderId="1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vertical="center"/>
      <protection/>
    </xf>
    <xf numFmtId="0" fontId="72" fillId="0" borderId="0" xfId="0" applyFont="1" applyFill="1" applyAlignment="1">
      <alignment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>
      <alignment horizontal="center"/>
    </xf>
    <xf numFmtId="176" fontId="72" fillId="0" borderId="0" xfId="0" applyNumberFormat="1" applyFont="1" applyFill="1" applyAlignment="1">
      <alignment/>
    </xf>
    <xf numFmtId="0" fontId="71" fillId="0" borderId="0" xfId="0" applyFont="1" applyFill="1" applyAlignment="1" applyProtection="1">
      <alignment/>
      <protection/>
    </xf>
    <xf numFmtId="4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center"/>
      <protection/>
    </xf>
    <xf numFmtId="0" fontId="73" fillId="0" borderId="0" xfId="0" applyFont="1" applyFill="1" applyAlignment="1" applyProtection="1">
      <alignment/>
      <protection/>
    </xf>
    <xf numFmtId="176" fontId="71" fillId="0" borderId="0" xfId="0" applyNumberFormat="1" applyFont="1" applyFill="1" applyAlignment="1" applyProtection="1">
      <alignment/>
      <protection/>
    </xf>
    <xf numFmtId="44" fontId="74" fillId="0" borderId="0" xfId="0" applyNumberFormat="1" applyFont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188" fontId="30" fillId="0" borderId="0" xfId="41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31" fillId="0" borderId="0" xfId="54" applyNumberFormat="1" applyFont="1" applyBorder="1" applyAlignment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49" fontId="40" fillId="0" borderId="0" xfId="54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0" fillId="0" borderId="0" xfId="53" applyNumberFormat="1" applyFont="1" applyFill="1" applyProtection="1">
      <alignment/>
      <protection/>
    </xf>
    <xf numFmtId="176" fontId="0" fillId="0" borderId="0" xfId="53" applyNumberFormat="1" applyFill="1" applyProtection="1">
      <alignment/>
      <protection/>
    </xf>
    <xf numFmtId="176" fontId="32" fillId="0" borderId="0" xfId="53" applyNumberFormat="1" applyFont="1" applyFill="1" applyBorder="1" applyAlignment="1" applyProtection="1">
      <alignment horizontal="justify"/>
      <protection/>
    </xf>
    <xf numFmtId="176" fontId="1" fillId="0" borderId="11" xfId="53" applyNumberFormat="1" applyFont="1" applyFill="1" applyBorder="1" applyAlignment="1" applyProtection="1">
      <alignment horizontal="left"/>
      <protection/>
    </xf>
    <xf numFmtId="0" fontId="63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63" fillId="19" borderId="0" xfId="0" applyFont="1" applyFill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8" fillId="18" borderId="0" xfId="0" applyFont="1" applyFill="1" applyAlignment="1" applyProtection="1">
      <alignment horizontal="center" vertical="center"/>
      <protection/>
    </xf>
    <xf numFmtId="0" fontId="4" fillId="18" borderId="0" xfId="53" applyFont="1" applyFill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wrapText="1"/>
      <protection/>
    </xf>
    <xf numFmtId="9" fontId="3" fillId="0" borderId="0" xfId="53" applyNumberFormat="1" applyFont="1" applyFill="1" applyAlignment="1" applyProtection="1">
      <alignment horizontal="left"/>
      <protection/>
    </xf>
    <xf numFmtId="44" fontId="3" fillId="0" borderId="34" xfId="41" applyFont="1" applyFill="1" applyBorder="1" applyAlignment="1" applyProtection="1">
      <alignment horizontal="center"/>
      <protection/>
    </xf>
    <xf numFmtId="0" fontId="39" fillId="0" borderId="0" xfId="53" applyFont="1" applyAlignment="1" applyProtection="1">
      <alignment horizontal="left" wrapText="1"/>
      <protection/>
    </xf>
    <xf numFmtId="0" fontId="0" fillId="0" borderId="0" xfId="53" applyAlignment="1" applyProtection="1">
      <alignment horizontal="center"/>
      <protection/>
    </xf>
    <xf numFmtId="0" fontId="32" fillId="0" borderId="0" xfId="53" applyFont="1" applyFill="1" applyAlignment="1" applyProtection="1">
      <alignment horizontal="justify" wrapText="1"/>
      <protection/>
    </xf>
    <xf numFmtId="0" fontId="4" fillId="18" borderId="0" xfId="0" applyFont="1" applyFill="1" applyAlignment="1" applyProtection="1">
      <alignment horizontal="center" vertical="center"/>
      <protection/>
    </xf>
    <xf numFmtId="9" fontId="3" fillId="0" borderId="0" xfId="0" applyNumberFormat="1" applyFont="1" applyAlignment="1" applyProtection="1">
      <alignment horizontal="left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Fill="1" applyAlignment="1">
      <alignment horizontal="left" wrapText="1"/>
    </xf>
    <xf numFmtId="0" fontId="70" fillId="7" borderId="0" xfId="37" applyFont="1" applyFill="1" applyAlignment="1" applyProtection="1">
      <alignment horizontal="center" vertical="center"/>
      <protection/>
    </xf>
    <xf numFmtId="0" fontId="45" fillId="0" borderId="0" xfId="50" applyFont="1" applyAlignment="1">
      <alignment horizontal="center" vertical="center"/>
      <protection locked="0"/>
    </xf>
    <xf numFmtId="0" fontId="42" fillId="0" borderId="0" xfId="50" applyFont="1" applyAlignment="1">
      <alignment horizontal="left" vertical="top"/>
      <protection locked="0"/>
    </xf>
    <xf numFmtId="0" fontId="45" fillId="18" borderId="0" xfId="50" applyFont="1" applyFill="1" applyAlignment="1">
      <alignment horizontal="center" vertical="center"/>
      <protection locked="0"/>
    </xf>
    <xf numFmtId="0" fontId="46" fillId="0" borderId="0" xfId="50" applyFont="1" applyAlignment="1">
      <alignment horizontal="center" vertical="center"/>
      <protection locked="0"/>
    </xf>
    <xf numFmtId="0" fontId="47" fillId="0" borderId="0" xfId="50" applyFont="1" applyAlignment="1">
      <alignment horizontal="left" vertical="top" wrapText="1"/>
      <protection locked="0"/>
    </xf>
    <xf numFmtId="0" fontId="42" fillId="0" borderId="0" xfId="50" applyFont="1" applyAlignment="1">
      <alignment horizontal="left" vertical="center"/>
      <protection locked="0"/>
    </xf>
    <xf numFmtId="182" fontId="49" fillId="0" borderId="0" xfId="50" applyNumberFormat="1" applyFont="1" applyAlignment="1">
      <alignment horizontal="left" vertical="top"/>
      <protection locked="0"/>
    </xf>
    <xf numFmtId="0" fontId="49" fillId="0" borderId="0" xfId="50" applyFont="1" applyAlignment="1">
      <alignment horizontal="left" vertical="center"/>
      <protection locked="0"/>
    </xf>
    <xf numFmtId="183" fontId="43" fillId="0" borderId="0" xfId="50" applyNumberFormat="1" applyFont="1" applyAlignment="1">
      <alignment horizontal="right" vertical="center"/>
      <protection locked="0"/>
    </xf>
    <xf numFmtId="183" fontId="51" fillId="0" borderId="0" xfId="50" applyNumberFormat="1" applyFont="1" applyAlignment="1">
      <alignment horizontal="right" vertical="center"/>
      <protection locked="0"/>
    </xf>
    <xf numFmtId="183" fontId="52" fillId="0" borderId="0" xfId="50" applyNumberFormat="1" applyFont="1" applyAlignment="1">
      <alignment horizontal="right" vertical="center"/>
      <protection locked="0"/>
    </xf>
    <xf numFmtId="183" fontId="47" fillId="18" borderId="19" xfId="50" applyNumberFormat="1" applyFont="1" applyFill="1" applyBorder="1" applyAlignment="1">
      <alignment horizontal="right" vertical="center"/>
      <protection locked="0"/>
    </xf>
    <xf numFmtId="0" fontId="42" fillId="18" borderId="19" xfId="50" applyFill="1" applyBorder="1" applyAlignment="1">
      <alignment horizontal="left" vertical="center"/>
      <protection locked="0"/>
    </xf>
    <xf numFmtId="0" fontId="42" fillId="18" borderId="35" xfId="50" applyFill="1" applyBorder="1" applyAlignment="1">
      <alignment horizontal="left" vertical="center"/>
      <protection locked="0"/>
    </xf>
    <xf numFmtId="0" fontId="47" fillId="0" borderId="0" xfId="50" applyFont="1" applyAlignment="1">
      <alignment horizontal="left" vertical="center" wrapText="1"/>
      <protection locked="0"/>
    </xf>
    <xf numFmtId="0" fontId="49" fillId="18" borderId="0" xfId="50" applyFont="1" applyFill="1" applyAlignment="1">
      <alignment horizontal="center" vertical="center"/>
      <protection locked="0"/>
    </xf>
    <xf numFmtId="0" fontId="42" fillId="18" borderId="0" xfId="50" applyFill="1" applyAlignment="1">
      <alignment horizontal="left" vertical="center"/>
      <protection locked="0"/>
    </xf>
    <xf numFmtId="183" fontId="55" fillId="0" borderId="0" xfId="50" applyNumberFormat="1" applyFont="1" applyAlignment="1">
      <alignment horizontal="right" vertical="center"/>
      <protection locked="0"/>
    </xf>
    <xf numFmtId="183" fontId="56" fillId="0" borderId="0" xfId="50" applyNumberFormat="1" applyFont="1" applyAlignment="1">
      <alignment horizontal="right" vertical="center"/>
      <protection locked="0"/>
    </xf>
    <xf numFmtId="0" fontId="58" fillId="0" borderId="0" xfId="50" applyFont="1" applyAlignment="1">
      <alignment horizontal="left" vertical="center"/>
      <protection locked="0"/>
    </xf>
    <xf numFmtId="183" fontId="59" fillId="0" borderId="0" xfId="50" applyNumberFormat="1" applyFont="1" applyAlignment="1">
      <alignment horizontal="right" vertical="center"/>
      <protection locked="0"/>
    </xf>
    <xf numFmtId="183" fontId="55" fillId="18" borderId="0" xfId="50" applyNumberFormat="1" applyFont="1" applyFill="1" applyAlignment="1">
      <alignment horizontal="right" vertical="center"/>
      <protection locked="0"/>
    </xf>
    <xf numFmtId="0" fontId="49" fillId="18" borderId="32" xfId="50" applyFont="1" applyFill="1" applyBorder="1" applyAlignment="1">
      <alignment horizontal="center" vertical="center" wrapText="1"/>
      <protection locked="0"/>
    </xf>
    <xf numFmtId="0" fontId="42" fillId="18" borderId="32" xfId="50" applyFill="1" applyBorder="1" applyAlignment="1">
      <alignment horizontal="center" vertical="center" wrapText="1"/>
      <protection locked="0"/>
    </xf>
    <xf numFmtId="0" fontId="42" fillId="18" borderId="33" xfId="50" applyFill="1" applyBorder="1" applyAlignment="1">
      <alignment horizontal="center" vertical="center" wrapText="1"/>
      <protection locked="0"/>
    </xf>
    <xf numFmtId="183" fontId="55" fillId="0" borderId="0" xfId="50" applyNumberFormat="1" applyFont="1" applyAlignment="1">
      <alignment horizontal="right"/>
      <protection locked="0"/>
    </xf>
    <xf numFmtId="183" fontId="56" fillId="0" borderId="0" xfId="50" applyNumberFormat="1" applyFont="1" applyAlignment="1">
      <alignment horizontal="right"/>
      <protection locked="0"/>
    </xf>
    <xf numFmtId="0" fontId="58" fillId="0" borderId="0" xfId="50" applyFont="1" applyAlignment="1">
      <alignment horizontal="left"/>
      <protection locked="0"/>
    </xf>
    <xf numFmtId="183" fontId="59" fillId="0" borderId="0" xfId="50" applyNumberFormat="1" applyFont="1" applyAlignment="1">
      <alignment horizontal="right"/>
      <protection locked="0"/>
    </xf>
    <xf numFmtId="0" fontId="42" fillId="0" borderId="30" xfId="50" applyFont="1" applyBorder="1" applyAlignment="1">
      <alignment horizontal="left" vertical="center" wrapText="1"/>
      <protection locked="0"/>
    </xf>
    <xf numFmtId="0" fontId="42" fillId="0" borderId="30" xfId="50" applyBorder="1" applyAlignment="1">
      <alignment horizontal="left" vertical="center"/>
      <protection locked="0"/>
    </xf>
    <xf numFmtId="183" fontId="42" fillId="0" borderId="30" xfId="50" applyNumberFormat="1" applyFont="1" applyBorder="1" applyAlignment="1">
      <alignment horizontal="right" vertical="center"/>
      <protection locked="0"/>
    </xf>
    <xf numFmtId="0" fontId="62" fillId="0" borderId="30" xfId="50" applyFont="1" applyBorder="1" applyAlignment="1">
      <alignment horizontal="left" vertical="center" wrapText="1"/>
      <protection locked="0"/>
    </xf>
    <xf numFmtId="0" fontId="62" fillId="0" borderId="30" xfId="50" applyFont="1" applyBorder="1" applyAlignment="1">
      <alignment horizontal="left" vertical="center"/>
      <protection locked="0"/>
    </xf>
    <xf numFmtId="183" fontId="62" fillId="0" borderId="30" xfId="50" applyNumberFormat="1" applyFont="1" applyBorder="1" applyAlignment="1">
      <alignment horizontal="right" vertical="center"/>
      <protection locked="0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iarky 2" xfId="36"/>
    <cellStyle name="Hypertextové prepojenie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Module1" xfId="49"/>
    <cellStyle name="normálne 2" xfId="50"/>
    <cellStyle name="normálne 3" xfId="51"/>
    <cellStyle name="normální 3" xfId="52"/>
    <cellStyle name="normální_FM_sil II-477_Liskovec-Repiste_rozpocet" xfId="53"/>
    <cellStyle name="normální_POL.XLS" xfId="54"/>
    <cellStyle name="normální_SESTAVA" xfId="55"/>
    <cellStyle name="percentá 2" xfId="56"/>
    <cellStyle name="Followed Hyperlink" xfId="57"/>
    <cellStyle name="Poznámka" xfId="58"/>
    <cellStyle name="Percent" xfId="59"/>
    <cellStyle name="Propojená buňka" xfId="60"/>
    <cellStyle name="Správně" xfId="61"/>
    <cellStyle name="Standaard_Blad1_3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3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7C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1</xdr:row>
      <xdr:rowOff>0</xdr:rowOff>
    </xdr:to>
    <xdr:pic>
      <xdr:nvPicPr>
        <xdr:cNvPr id="1" name="radAB7CD.tmp" descr="C:\KROSplusData\System\Temp\radAB7C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838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dr\%203%20-%20Fusky\Igor\0380%20-%20Petrvald%20chodnik%201-usek\protla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&#352;\SERVIS%20-%20MAN\PODKLADY\Nab&#237;dka%20signo%20-%20admin.%20bud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_Zden&#283;k\CENIKY\Pracovni%20REHAU\REHAU%20VIO-cen&#237;k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bek\Dokumenty\13%20-%20Propocty\Libor\619%20-%20Cesky%20Krumlov%20-%201.etapa\Vodov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%203%20-%20Fusky\Libor\654%20-%20Luna%20-%20podrobn&#283;\Kios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Protlaky</v>
          </cell>
        </row>
        <row r="7">
          <cell r="A7" t="str">
            <v>910804</v>
          </cell>
          <cell r="C7" t="str">
            <v>Protlaky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2">
        <row r="11">
          <cell r="B11">
            <v>18.2</v>
          </cell>
        </row>
        <row r="12">
          <cell r="B12">
            <v>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-PPP301"/>
      <sheetName val="P-PP01"/>
      <sheetName val="R-2-301V"/>
      <sheetName val="P-2-301V"/>
      <sheetName val="R-2-302V"/>
      <sheetName val="P-2-302V"/>
      <sheetName val="R-2-303V"/>
      <sheetName val="P-2-303V"/>
      <sheetName val="R-2-304V"/>
      <sheetName val="P-2-304V"/>
      <sheetName val="R-2-305"/>
      <sheetName val="P-2-305"/>
      <sheetName val="R-2-306"/>
      <sheetName val="P-2-306"/>
      <sheetName val="R-2-307"/>
      <sheetName val="P-2-307"/>
      <sheetName val="R-2-308"/>
      <sheetName val="P-2-308"/>
      <sheetName val="R-2-311V"/>
      <sheetName val="P-2-311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2">
          <cell r="C2" t="str">
            <v>SO 903K</v>
          </cell>
          <cell r="D2" t="str">
            <v>Herní prvek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D24" sqref="D24"/>
      <selection pane="bottomLeft" activeCell="K19" sqref="K19"/>
    </sheetView>
  </sheetViews>
  <sheetFormatPr defaultColWidth="9.00390625" defaultRowHeight="12.75"/>
  <cols>
    <col min="1" max="1" width="10.75390625" style="2" customWidth="1"/>
    <col min="2" max="2" width="1.25" style="2" customWidth="1"/>
    <col min="3" max="3" width="26.25390625" style="2" customWidth="1"/>
    <col min="4" max="4" width="24.25390625" style="2" customWidth="1"/>
    <col min="5" max="5" width="21.00390625" style="2" customWidth="1"/>
    <col min="6" max="6" width="4.625" style="2" customWidth="1"/>
    <col min="7" max="7" width="19.625" style="2" customWidth="1"/>
    <col min="8" max="8" width="2.00390625" style="2" customWidth="1"/>
    <col min="9" max="9" width="22.125" style="2" bestFit="1" customWidth="1"/>
    <col min="10" max="16384" width="9.125" style="2" customWidth="1"/>
  </cols>
  <sheetData>
    <row r="1" spans="1:10" ht="26.25" customHeight="1">
      <c r="A1" s="398" t="s">
        <v>40</v>
      </c>
      <c r="B1" s="398"/>
      <c r="C1" s="398"/>
      <c r="D1" s="398"/>
      <c r="E1" s="398"/>
      <c r="F1" s="398"/>
      <c r="G1" s="398"/>
      <c r="H1" s="398"/>
      <c r="I1" s="398"/>
      <c r="J1" s="398"/>
    </row>
    <row r="3" spans="1:9" s="136" customFormat="1" ht="15.75" customHeight="1">
      <c r="A3" s="134" t="s">
        <v>41</v>
      </c>
      <c r="B3" s="135"/>
      <c r="C3" s="397" t="s">
        <v>74</v>
      </c>
      <c r="D3" s="397"/>
      <c r="E3" s="397"/>
      <c r="F3" s="397"/>
      <c r="G3" s="397"/>
      <c r="H3" s="397"/>
      <c r="I3" s="397"/>
    </row>
    <row r="4" spans="1:9" s="131" customFormat="1" ht="15.75" customHeight="1" hidden="1">
      <c r="A4" s="130" t="s">
        <v>138</v>
      </c>
      <c r="C4" s="132" t="s">
        <v>139</v>
      </c>
      <c r="D4" s="133"/>
      <c r="E4" s="133"/>
      <c r="F4" s="133"/>
      <c r="G4" s="133"/>
      <c r="H4" s="133"/>
      <c r="I4" s="133"/>
    </row>
    <row r="5" spans="1:3" ht="12.75">
      <c r="A5" s="3" t="s">
        <v>47</v>
      </c>
      <c r="B5" s="4"/>
      <c r="C5" s="4" t="s">
        <v>75</v>
      </c>
    </row>
    <row r="6" spans="1:10" s="4" customFormat="1" ht="22.5" customHeight="1" thickBot="1">
      <c r="A6" s="5"/>
      <c r="B6" s="5"/>
      <c r="C6" s="5"/>
      <c r="D6" s="5"/>
      <c r="E6" s="5" t="s">
        <v>29</v>
      </c>
      <c r="F6" s="5"/>
      <c r="G6" s="5" t="s">
        <v>38</v>
      </c>
      <c r="H6" s="5"/>
      <c r="I6" s="5" t="s">
        <v>39</v>
      </c>
      <c r="J6" s="5" t="s">
        <v>60</v>
      </c>
    </row>
    <row r="7" spans="9:10" s="6" customFormat="1" ht="12.75">
      <c r="I7" s="7"/>
      <c r="J7" s="7"/>
    </row>
    <row r="8" spans="3:10" s="6" customFormat="1" ht="12.75">
      <c r="C8" s="8" t="s">
        <v>61</v>
      </c>
      <c r="E8" s="9">
        <f>'R-ON+VN'!E18</f>
        <v>0</v>
      </c>
      <c r="F8" s="10">
        <v>0.21</v>
      </c>
      <c r="G8" s="11">
        <f>E8*F8</f>
        <v>0</v>
      </c>
      <c r="H8" s="12"/>
      <c r="I8" s="13">
        <f>E8+G8</f>
        <v>0</v>
      </c>
      <c r="J8" s="14"/>
    </row>
    <row r="9" s="6" customFormat="1" ht="12.75"/>
    <row r="10" spans="1:10" s="6" customFormat="1" ht="12.75">
      <c r="A10" s="15" t="s">
        <v>65</v>
      </c>
      <c r="B10" s="16"/>
      <c r="C10" s="16" t="s">
        <v>136</v>
      </c>
      <c r="E10" s="9">
        <f>'R-101'!E24</f>
        <v>0</v>
      </c>
      <c r="F10" s="10">
        <v>0.21</v>
      </c>
      <c r="G10" s="11">
        <f>E10*F10</f>
        <v>0</v>
      </c>
      <c r="H10" s="12"/>
      <c r="I10" s="13">
        <f>E10+G10</f>
        <v>0</v>
      </c>
      <c r="J10" s="17" t="s">
        <v>95</v>
      </c>
    </row>
    <row r="11" spans="1:10" s="6" customFormat="1" ht="12.75">
      <c r="A11" s="15"/>
      <c r="B11" s="16"/>
      <c r="C11" s="18"/>
      <c r="D11" s="19"/>
      <c r="E11" s="9"/>
      <c r="F11" s="10"/>
      <c r="G11" s="11"/>
      <c r="H11" s="12"/>
      <c r="I11" s="13"/>
      <c r="J11" s="17"/>
    </row>
    <row r="12" spans="1:10" s="6" customFormat="1" ht="12.75">
      <c r="A12" s="15" t="s">
        <v>90</v>
      </c>
      <c r="B12" s="16"/>
      <c r="C12" s="120" t="s">
        <v>91</v>
      </c>
      <c r="D12" s="19"/>
      <c r="E12" s="9">
        <f>'R-301'!E16</f>
        <v>0</v>
      </c>
      <c r="F12" s="10">
        <v>0.21</v>
      </c>
      <c r="G12" s="11">
        <f>E12*F12</f>
        <v>0</v>
      </c>
      <c r="H12" s="12"/>
      <c r="I12" s="13">
        <f>E12+G12</f>
        <v>0</v>
      </c>
      <c r="J12" s="17" t="s">
        <v>94</v>
      </c>
    </row>
    <row r="13" spans="1:10" s="6" customFormat="1" ht="12.75">
      <c r="A13" s="15"/>
      <c r="B13" s="16"/>
      <c r="C13" s="18"/>
      <c r="D13" s="19"/>
      <c r="E13" s="9"/>
      <c r="F13" s="10"/>
      <c r="G13" s="11"/>
      <c r="H13" s="12"/>
      <c r="I13" s="13"/>
      <c r="J13" s="17"/>
    </row>
    <row r="14" spans="1:10" s="6" customFormat="1" ht="12.75">
      <c r="A14" s="15" t="s">
        <v>88</v>
      </c>
      <c r="B14" s="16"/>
      <c r="C14" s="120" t="s">
        <v>89</v>
      </c>
      <c r="D14" s="19"/>
      <c r="E14" s="9">
        <f>'R-302'!E16</f>
        <v>0</v>
      </c>
      <c r="F14" s="10">
        <v>0.21</v>
      </c>
      <c r="G14" s="11">
        <f>E14*F14</f>
        <v>0</v>
      </c>
      <c r="H14" s="12"/>
      <c r="I14" s="13">
        <f>E14+G14</f>
        <v>0</v>
      </c>
      <c r="J14" s="17" t="s">
        <v>93</v>
      </c>
    </row>
    <row r="15" spans="1:10" s="6" customFormat="1" ht="12.75">
      <c r="A15" s="15"/>
      <c r="B15" s="16"/>
      <c r="C15" s="120"/>
      <c r="D15" s="19"/>
      <c r="E15" s="9"/>
      <c r="F15" s="10"/>
      <c r="G15" s="11"/>
      <c r="H15" s="12"/>
      <c r="I15" s="13"/>
      <c r="J15" s="17"/>
    </row>
    <row r="16" spans="1:10" s="6" customFormat="1" ht="12.75">
      <c r="A16" s="15" t="s">
        <v>85</v>
      </c>
      <c r="B16" s="16"/>
      <c r="C16" s="120" t="s">
        <v>86</v>
      </c>
      <c r="D16" s="19"/>
      <c r="E16" s="9">
        <f>'R-401'!E16</f>
        <v>0</v>
      </c>
      <c r="F16" s="10">
        <v>0.21</v>
      </c>
      <c r="G16" s="11">
        <f>E16*F16</f>
        <v>0</v>
      </c>
      <c r="H16" s="12"/>
      <c r="I16" s="13">
        <f>E16+G16</f>
        <v>0</v>
      </c>
      <c r="J16" s="17" t="s">
        <v>610</v>
      </c>
    </row>
    <row r="17" spans="1:10" s="6" customFormat="1" ht="12.75">
      <c r="A17" s="15"/>
      <c r="B17" s="16"/>
      <c r="C17" s="120"/>
      <c r="D17" s="19"/>
      <c r="E17" s="9"/>
      <c r="F17" s="10"/>
      <c r="G17" s="11"/>
      <c r="H17" s="12"/>
      <c r="I17" s="13"/>
      <c r="J17" s="17"/>
    </row>
    <row r="18" spans="1:10" s="6" customFormat="1" ht="12.75">
      <c r="A18" s="15" t="s">
        <v>83</v>
      </c>
      <c r="B18" s="16"/>
      <c r="C18" s="120" t="s">
        <v>84</v>
      </c>
      <c r="D18" s="19"/>
      <c r="E18" s="9">
        <f>'R-403'!E16</f>
        <v>0</v>
      </c>
      <c r="F18" s="10">
        <v>0.21</v>
      </c>
      <c r="G18" s="11">
        <f>E18*F18</f>
        <v>0</v>
      </c>
      <c r="H18" s="12"/>
      <c r="I18" s="13">
        <f>E18+G18</f>
        <v>0</v>
      </c>
      <c r="J18" s="17" t="s">
        <v>610</v>
      </c>
    </row>
    <row r="19" spans="1:10" s="6" customFormat="1" ht="12.75">
      <c r="A19" s="15"/>
      <c r="B19" s="16"/>
      <c r="C19" s="120"/>
      <c r="D19" s="19"/>
      <c r="E19" s="9"/>
      <c r="F19" s="10"/>
      <c r="G19" s="11"/>
      <c r="H19" s="12"/>
      <c r="I19" s="13"/>
      <c r="J19" s="17"/>
    </row>
    <row r="20" spans="1:10" s="6" customFormat="1" ht="12.75">
      <c r="A20" s="15" t="s">
        <v>82</v>
      </c>
      <c r="B20" s="16"/>
      <c r="C20" s="120" t="s">
        <v>87</v>
      </c>
      <c r="D20" s="19"/>
      <c r="E20" s="9">
        <f>'SO 501 PD OVaK'!M23</f>
        <v>0</v>
      </c>
      <c r="F20" s="10">
        <v>0.21</v>
      </c>
      <c r="G20" s="11">
        <f>E20*F20</f>
        <v>0</v>
      </c>
      <c r="H20" s="12"/>
      <c r="I20" s="13">
        <f>E20+G20</f>
        <v>0</v>
      </c>
      <c r="J20" s="17" t="s">
        <v>92</v>
      </c>
    </row>
    <row r="21" spans="1:10" s="6" customFormat="1" ht="12.75">
      <c r="A21" s="15"/>
      <c r="B21" s="16"/>
      <c r="C21" s="120"/>
      <c r="D21" s="19"/>
      <c r="E21" s="9"/>
      <c r="F21" s="10"/>
      <c r="G21" s="11"/>
      <c r="H21" s="12"/>
      <c r="I21" s="13"/>
      <c r="J21" s="17"/>
    </row>
    <row r="22" spans="1:10" s="6" customFormat="1" ht="12.75">
      <c r="A22" s="15" t="s">
        <v>78</v>
      </c>
      <c r="B22" s="16"/>
      <c r="C22" s="16" t="s">
        <v>79</v>
      </c>
      <c r="E22" s="9">
        <f>'R-801'!E20</f>
        <v>0</v>
      </c>
      <c r="F22" s="10">
        <v>0.21</v>
      </c>
      <c r="G22" s="11">
        <f>E22*F22</f>
        <v>0</v>
      </c>
      <c r="H22" s="12"/>
      <c r="I22" s="13">
        <f>E22+G22</f>
        <v>0</v>
      </c>
      <c r="J22" s="17" t="s">
        <v>80</v>
      </c>
    </row>
    <row r="23" spans="1:10" s="6" customFormat="1" ht="12.75">
      <c r="A23" s="15"/>
      <c r="B23" s="16"/>
      <c r="C23" s="18"/>
      <c r="D23" s="19"/>
      <c r="E23" s="9"/>
      <c r="F23" s="10"/>
      <c r="G23" s="11"/>
      <c r="H23" s="12"/>
      <c r="I23" s="13"/>
      <c r="J23" s="17"/>
    </row>
    <row r="24" spans="1:10" s="6" customFormat="1" ht="12.75">
      <c r="A24" s="15" t="s">
        <v>76</v>
      </c>
      <c r="B24" s="16"/>
      <c r="C24" s="16" t="s">
        <v>77</v>
      </c>
      <c r="E24" s="9">
        <f>'R-901'!E16</f>
        <v>0</v>
      </c>
      <c r="F24" s="10">
        <v>0.21</v>
      </c>
      <c r="G24" s="11">
        <f>E24*F24</f>
        <v>0</v>
      </c>
      <c r="H24" s="12"/>
      <c r="I24" s="13">
        <f>E24+G24</f>
        <v>0</v>
      </c>
      <c r="J24" s="17" t="s">
        <v>81</v>
      </c>
    </row>
    <row r="25" spans="1:10" s="6" customFormat="1" ht="13.5" thickBot="1">
      <c r="A25" s="20"/>
      <c r="B25" s="21"/>
      <c r="C25" s="21"/>
      <c r="D25" s="20"/>
      <c r="E25" s="21"/>
      <c r="F25" s="21"/>
      <c r="G25" s="21"/>
      <c r="H25" s="22"/>
      <c r="I25" s="23"/>
      <c r="J25" s="23"/>
    </row>
    <row r="26" spans="9:10" s="6" customFormat="1" ht="12.75">
      <c r="I26" s="24"/>
      <c r="J26" s="24"/>
    </row>
    <row r="27" spans="1:10" s="27" customFormat="1" ht="15.75">
      <c r="A27" s="25" t="s">
        <v>25</v>
      </c>
      <c r="B27" s="25"/>
      <c r="C27" s="25"/>
      <c r="D27" s="25"/>
      <c r="E27" s="26">
        <f>SUM(E8:E25)</f>
        <v>0</v>
      </c>
      <c r="F27" s="26"/>
      <c r="G27" s="26">
        <f>SUM(G8:G25)</f>
        <v>0</v>
      </c>
      <c r="H27" s="25"/>
      <c r="I27" s="26">
        <f>SUM(I8:I25)</f>
        <v>0</v>
      </c>
      <c r="J27" s="26"/>
    </row>
    <row r="28" spans="5:10" ht="12.75">
      <c r="E28" s="28">
        <f>SUM(E8:E27)*0.5</f>
        <v>0</v>
      </c>
      <c r="F28" s="29"/>
      <c r="G28" s="30" t="s">
        <v>46</v>
      </c>
      <c r="H28" s="30"/>
      <c r="I28" s="28">
        <f>E28*1.21</f>
        <v>0</v>
      </c>
      <c r="J28" s="6"/>
    </row>
  </sheetData>
  <sheetProtection/>
  <mergeCells count="2">
    <mergeCell ref="C3:I3"/>
    <mergeCell ref="A1:J1"/>
  </mergeCells>
  <printOptions horizontalCentered="1"/>
  <pageMargins left="0.5905511811023623" right="0.42" top="0.8267716535433072" bottom="0.984251968503937" header="0.5118110236220472" footer="0.5118110236220472"/>
  <pageSetup fitToHeight="1" fitToWidth="1" horizontalDpi="204" verticalDpi="204" orientation="portrait" paperSize="9" scale="66" r:id="rId1"/>
  <headerFooter alignWithMargins="0">
    <oddHeader>&amp;L&amp;8&amp;A&amp;R&amp;8Strana &amp;P z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SheetLayoutView="100" zoomScalePageLayoutView="0" workbookViewId="0" topLeftCell="A1">
      <pane ySplit="7" topLeftCell="A9" activePane="bottomLeft" state="frozen"/>
      <selection pane="topLeft" activeCell="E21" sqref="E21"/>
      <selection pane="bottomLeft" activeCell="I14" sqref="I14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35" t="s">
        <v>931</v>
      </c>
    </row>
    <row r="5" spans="1:3" ht="12.75">
      <c r="A5" s="3" t="s">
        <v>42</v>
      </c>
      <c r="B5" s="4"/>
      <c r="C5" s="4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97">
        <v>90</v>
      </c>
      <c r="C10" s="2" t="s">
        <v>35</v>
      </c>
      <c r="E10" s="217">
        <f>'P-401'!G127</f>
        <v>0</v>
      </c>
      <c r="F10" s="32"/>
      <c r="G10" s="99"/>
    </row>
    <row r="11" spans="1:7" ht="13.5" thickBot="1">
      <c r="A11" s="100"/>
      <c r="B11" s="100"/>
      <c r="C11" s="100"/>
      <c r="D11" s="100"/>
      <c r="E11" s="101"/>
      <c r="F11" s="102"/>
      <c r="G11" s="103"/>
    </row>
    <row r="12" ht="12.75">
      <c r="G12" s="99"/>
    </row>
    <row r="13" spans="1:7" s="108" customFormat="1" ht="15">
      <c r="A13" s="104" t="s">
        <v>44</v>
      </c>
      <c r="B13" s="104"/>
      <c r="C13" s="104"/>
      <c r="D13" s="104"/>
      <c r="E13" s="105">
        <f>SUM(E10:E11)</f>
        <v>0</v>
      </c>
      <c r="F13" s="106"/>
      <c r="G13" s="107"/>
    </row>
    <row r="14" spans="1:7" s="109" customFormat="1" ht="15">
      <c r="A14" s="2"/>
      <c r="B14" s="2"/>
      <c r="C14" s="2"/>
      <c r="D14" s="2"/>
      <c r="E14" s="2"/>
      <c r="F14" s="2"/>
      <c r="G14" s="99"/>
    </row>
    <row r="15" ht="12.75">
      <c r="G15" s="99"/>
    </row>
    <row r="16" spans="1:7" ht="15.75">
      <c r="A16" s="110" t="s">
        <v>45</v>
      </c>
      <c r="B16" s="110"/>
      <c r="C16" s="110"/>
      <c r="D16" s="110"/>
      <c r="E16" s="111">
        <f>E13</f>
        <v>0</v>
      </c>
      <c r="F16" s="110"/>
      <c r="G16" s="112"/>
    </row>
    <row r="17" spans="1:7" ht="15">
      <c r="A17" s="109"/>
      <c r="B17" s="109"/>
      <c r="C17" s="109"/>
      <c r="D17" s="109"/>
      <c r="E17" s="113"/>
      <c r="F17" s="113"/>
      <c r="G17" s="109"/>
    </row>
    <row r="18" spans="1:7" ht="15.75">
      <c r="A18" s="110" t="s">
        <v>48</v>
      </c>
      <c r="B18" s="407">
        <v>0.21</v>
      </c>
      <c r="C18" s="407"/>
      <c r="D18" s="109"/>
      <c r="E18" s="114">
        <f>ROUND(E16*B18,1)</f>
        <v>0</v>
      </c>
      <c r="F18" s="113"/>
      <c r="G18" s="109"/>
    </row>
    <row r="19" spans="1:7" ht="15">
      <c r="A19" s="109"/>
      <c r="B19" s="109"/>
      <c r="C19" s="109"/>
      <c r="D19" s="109"/>
      <c r="E19" s="113"/>
      <c r="F19" s="113"/>
      <c r="G19" s="109"/>
    </row>
    <row r="20" spans="1:7" ht="15.75">
      <c r="A20" s="110" t="s">
        <v>30</v>
      </c>
      <c r="B20" s="109"/>
      <c r="C20" s="109"/>
      <c r="D20" s="109"/>
      <c r="E20" s="115">
        <f>SUM(E16:E19)</f>
        <v>0</v>
      </c>
      <c r="F20" s="116"/>
      <c r="G20" s="116"/>
    </row>
  </sheetData>
  <sheetProtection/>
  <mergeCells count="2">
    <mergeCell ref="A1:G1"/>
    <mergeCell ref="B18:C18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view="pageBreakPreview" zoomScaleSheetLayoutView="100" zoomScalePageLayoutView="0" workbookViewId="0" topLeftCell="A1">
      <pane ySplit="8" topLeftCell="A120" activePane="bottomLeft" state="frozen"/>
      <selection pane="topLeft" activeCell="E10" sqref="E10"/>
      <selection pane="bottomLeft" activeCell="J14" sqref="J14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2" bestFit="1" customWidth="1"/>
    <col min="6" max="6" width="6.625" style="33" bestFit="1" customWidth="1"/>
    <col min="7" max="7" width="10.125" style="2" customWidth="1"/>
    <col min="8" max="8" width="10.25390625" style="2" bestFit="1" customWidth="1"/>
    <col min="9" max="9" width="12.625" style="2" customWidth="1"/>
    <col min="10" max="10" width="10.625" style="2" bestFit="1" customWidth="1"/>
    <col min="11" max="11" width="12.75390625" style="2" bestFit="1" customWidth="1"/>
    <col min="12" max="12" width="6.75390625" style="34" customWidth="1"/>
    <col min="13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931</v>
      </c>
      <c r="J4" s="36" t="s">
        <v>54</v>
      </c>
      <c r="K4" s="2" t="s">
        <v>171</v>
      </c>
    </row>
    <row r="5" spans="1:11" ht="12.75">
      <c r="A5" s="3" t="s">
        <v>42</v>
      </c>
      <c r="B5" s="4"/>
      <c r="C5" s="35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8"/>
      <c r="G7" s="33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41"/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/>
      <c r="B9" s="6"/>
      <c r="C9" s="42"/>
      <c r="D9" s="6"/>
      <c r="E9" s="12"/>
      <c r="F9" s="43"/>
      <c r="G9" s="6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36</v>
      </c>
      <c r="D10" s="45"/>
      <c r="E10" s="46"/>
      <c r="F10" s="6"/>
      <c r="G10" s="6"/>
      <c r="H10" s="6"/>
      <c r="I10" s="6"/>
      <c r="J10" s="6"/>
      <c r="K10" s="6"/>
      <c r="L10" s="1"/>
    </row>
    <row r="11" spans="1:12" ht="6" customHeight="1">
      <c r="A11" s="47" t="s">
        <v>37</v>
      </c>
      <c r="B11" s="45"/>
      <c r="C11" s="16"/>
      <c r="D11" s="45"/>
      <c r="E11" s="46"/>
      <c r="F11" s="6"/>
      <c r="G11" s="6"/>
      <c r="H11" s="6"/>
      <c r="I11" s="6"/>
      <c r="J11" s="6"/>
      <c r="K11" s="6"/>
      <c r="L11" s="1"/>
    </row>
    <row r="12" spans="2:12" ht="12.75">
      <c r="B12" s="6"/>
      <c r="C12" s="391" t="s">
        <v>627</v>
      </c>
      <c r="E12" s="12"/>
      <c r="F12" s="43"/>
      <c r="G12" s="330"/>
      <c r="H12" s="12"/>
      <c r="I12" s="12"/>
      <c r="J12" s="49"/>
      <c r="K12" s="68">
        <f>G12*J12</f>
        <v>0</v>
      </c>
      <c r="L12" s="2"/>
    </row>
    <row r="13" spans="1:12" ht="25.5">
      <c r="A13" s="43">
        <v>1</v>
      </c>
      <c r="B13" s="6"/>
      <c r="C13" s="6" t="s">
        <v>628</v>
      </c>
      <c r="D13" s="394" t="s">
        <v>629</v>
      </c>
      <c r="E13" s="12"/>
      <c r="F13" s="43" t="s">
        <v>630</v>
      </c>
      <c r="G13" s="330">
        <v>0.6</v>
      </c>
      <c r="H13" s="392"/>
      <c r="I13" s="392">
        <f aca="true" t="shared" si="0" ref="I13:I49">(G13*H13)</f>
        <v>0</v>
      </c>
      <c r="J13" s="1"/>
      <c r="L13" s="1" t="s">
        <v>59</v>
      </c>
    </row>
    <row r="14" spans="1:12" ht="25.5">
      <c r="A14" s="43">
        <v>2</v>
      </c>
      <c r="B14" s="6"/>
      <c r="C14" s="6" t="s">
        <v>631</v>
      </c>
      <c r="D14" s="394" t="s">
        <v>632</v>
      </c>
      <c r="E14" s="12"/>
      <c r="F14" s="43" t="s">
        <v>140</v>
      </c>
      <c r="G14" s="330">
        <v>40</v>
      </c>
      <c r="H14" s="392"/>
      <c r="I14" s="392">
        <f t="shared" si="0"/>
        <v>0</v>
      </c>
      <c r="J14" s="1"/>
      <c r="L14" s="1" t="s">
        <v>59</v>
      </c>
    </row>
    <row r="15" spans="1:12" ht="25.5">
      <c r="A15" s="43">
        <v>3</v>
      </c>
      <c r="B15" s="6"/>
      <c r="C15" s="6" t="s">
        <v>633</v>
      </c>
      <c r="D15" s="394" t="s">
        <v>634</v>
      </c>
      <c r="E15" s="12"/>
      <c r="F15" s="43" t="s">
        <v>140</v>
      </c>
      <c r="G15" s="330">
        <v>15</v>
      </c>
      <c r="H15" s="392"/>
      <c r="I15" s="392">
        <f t="shared" si="0"/>
        <v>0</v>
      </c>
      <c r="J15" s="1"/>
      <c r="L15" s="1" t="s">
        <v>59</v>
      </c>
    </row>
    <row r="16" spans="1:12" ht="25.5">
      <c r="A16" s="43">
        <v>4</v>
      </c>
      <c r="B16" s="6"/>
      <c r="C16" s="6" t="s">
        <v>635</v>
      </c>
      <c r="D16" s="394" t="s">
        <v>636</v>
      </c>
      <c r="E16" s="12"/>
      <c r="F16" s="43" t="s">
        <v>140</v>
      </c>
      <c r="G16" s="330">
        <v>25</v>
      </c>
      <c r="H16" s="392"/>
      <c r="I16" s="392">
        <f t="shared" si="0"/>
        <v>0</v>
      </c>
      <c r="J16" s="1"/>
      <c r="L16" s="1" t="s">
        <v>59</v>
      </c>
    </row>
    <row r="17" spans="1:12" ht="12.75">
      <c r="A17" s="43">
        <v>5</v>
      </c>
      <c r="B17" s="6"/>
      <c r="C17" s="6" t="s">
        <v>637</v>
      </c>
      <c r="D17" s="394" t="s">
        <v>638</v>
      </c>
      <c r="E17" s="12"/>
      <c r="F17" s="43" t="s">
        <v>141</v>
      </c>
      <c r="G17" s="330">
        <v>80</v>
      </c>
      <c r="H17" s="392"/>
      <c r="I17" s="392">
        <f t="shared" si="0"/>
        <v>0</v>
      </c>
      <c r="J17" s="1"/>
      <c r="L17" s="1" t="s">
        <v>59</v>
      </c>
    </row>
    <row r="18" spans="1:12" ht="12.75">
      <c r="A18" s="43">
        <v>6</v>
      </c>
      <c r="B18" s="6"/>
      <c r="C18" s="6" t="s">
        <v>639</v>
      </c>
      <c r="D18" s="394" t="s">
        <v>640</v>
      </c>
      <c r="E18" s="12"/>
      <c r="F18" s="43" t="s">
        <v>141</v>
      </c>
      <c r="G18" s="330">
        <v>80</v>
      </c>
      <c r="H18" s="392"/>
      <c r="I18" s="392">
        <f t="shared" si="0"/>
        <v>0</v>
      </c>
      <c r="J18" s="1"/>
      <c r="L18" s="1" t="s">
        <v>59</v>
      </c>
    </row>
    <row r="19" spans="1:12" ht="25.5">
      <c r="A19" s="43">
        <v>7</v>
      </c>
      <c r="B19" s="6"/>
      <c r="C19" s="6" t="s">
        <v>641</v>
      </c>
      <c r="D19" s="394" t="s">
        <v>642</v>
      </c>
      <c r="E19" s="12"/>
      <c r="F19" s="43" t="s">
        <v>142</v>
      </c>
      <c r="G19" s="330">
        <v>18</v>
      </c>
      <c r="H19" s="392"/>
      <c r="I19" s="392">
        <f t="shared" si="0"/>
        <v>0</v>
      </c>
      <c r="J19" s="1"/>
      <c r="L19" s="1" t="s">
        <v>59</v>
      </c>
    </row>
    <row r="20" spans="1:12" ht="25.5">
      <c r="A20" s="43">
        <v>8</v>
      </c>
      <c r="B20" s="6"/>
      <c r="C20" s="6" t="s">
        <v>643</v>
      </c>
      <c r="D20" s="394" t="s">
        <v>644</v>
      </c>
      <c r="E20" s="12"/>
      <c r="F20" s="43" t="s">
        <v>229</v>
      </c>
      <c r="G20" s="330">
        <f>18*0.5*0.5*0.5</f>
        <v>2.25</v>
      </c>
      <c r="H20" s="392"/>
      <c r="I20" s="392">
        <f t="shared" si="0"/>
        <v>0</v>
      </c>
      <c r="J20" s="1"/>
      <c r="L20" s="1" t="s">
        <v>59</v>
      </c>
    </row>
    <row r="21" spans="1:12" ht="12.75">
      <c r="A21" s="43">
        <v>9</v>
      </c>
      <c r="B21" s="6"/>
      <c r="C21" s="6" t="s">
        <v>645</v>
      </c>
      <c r="D21" s="394" t="s">
        <v>646</v>
      </c>
      <c r="E21" s="12"/>
      <c r="F21" s="43" t="s">
        <v>229</v>
      </c>
      <c r="G21" s="330">
        <f>18*0.5*0.5*0.5</f>
        <v>2.25</v>
      </c>
      <c r="H21" s="392"/>
      <c r="I21" s="392">
        <f t="shared" si="0"/>
        <v>0</v>
      </c>
      <c r="J21" s="1"/>
      <c r="L21" s="1" t="s">
        <v>59</v>
      </c>
    </row>
    <row r="22" spans="1:12" ht="12.75">
      <c r="A22" s="43">
        <v>10</v>
      </c>
      <c r="B22" s="6"/>
      <c r="C22" s="6" t="s">
        <v>647</v>
      </c>
      <c r="D22" s="394" t="s">
        <v>648</v>
      </c>
      <c r="E22" s="12"/>
      <c r="F22" s="43" t="s">
        <v>229</v>
      </c>
      <c r="G22" s="330">
        <v>0.5</v>
      </c>
      <c r="H22" s="392"/>
      <c r="I22" s="392">
        <f t="shared" si="0"/>
        <v>0</v>
      </c>
      <c r="J22" s="1"/>
      <c r="L22" s="1" t="s">
        <v>59</v>
      </c>
    </row>
    <row r="23" spans="1:12" ht="12.75">
      <c r="A23" s="43">
        <v>11</v>
      </c>
      <c r="B23" s="6"/>
      <c r="C23" s="6" t="s">
        <v>649</v>
      </c>
      <c r="D23" s="394" t="s">
        <v>650</v>
      </c>
      <c r="E23" s="12"/>
      <c r="F23" s="43" t="s">
        <v>140</v>
      </c>
      <c r="G23" s="330">
        <f>18*0.5*0.5</f>
        <v>4.5</v>
      </c>
      <c r="H23" s="392"/>
      <c r="I23" s="392">
        <f t="shared" si="0"/>
        <v>0</v>
      </c>
      <c r="J23" s="1"/>
      <c r="L23" s="1" t="s">
        <v>59</v>
      </c>
    </row>
    <row r="24" spans="1:12" ht="12.75">
      <c r="A24" s="43">
        <v>12</v>
      </c>
      <c r="B24" s="6"/>
      <c r="C24" s="6" t="s">
        <v>651</v>
      </c>
      <c r="D24" s="394" t="s">
        <v>652</v>
      </c>
      <c r="E24" s="12"/>
      <c r="F24" s="43" t="s">
        <v>140</v>
      </c>
      <c r="G24" s="330">
        <f>18*0.5*0.5</f>
        <v>4.5</v>
      </c>
      <c r="H24" s="392"/>
      <c r="I24" s="392">
        <f t="shared" si="0"/>
        <v>0</v>
      </c>
      <c r="J24" s="1"/>
      <c r="L24" s="1" t="s">
        <v>59</v>
      </c>
    </row>
    <row r="25" spans="1:12" ht="12.75">
      <c r="A25" s="43">
        <v>13</v>
      </c>
      <c r="B25" s="6"/>
      <c r="C25" s="6" t="s">
        <v>653</v>
      </c>
      <c r="D25" s="394" t="s">
        <v>654</v>
      </c>
      <c r="E25" s="12"/>
      <c r="F25" s="43" t="s">
        <v>229</v>
      </c>
      <c r="G25" s="330">
        <v>2.8</v>
      </c>
      <c r="H25" s="392"/>
      <c r="I25" s="392">
        <f t="shared" si="0"/>
        <v>0</v>
      </c>
      <c r="J25" s="1"/>
      <c r="L25" s="1" t="s">
        <v>59</v>
      </c>
    </row>
    <row r="26" spans="1:12" ht="12.75">
      <c r="A26" s="43">
        <v>14</v>
      </c>
      <c r="B26" s="6"/>
      <c r="C26" s="6" t="s">
        <v>655</v>
      </c>
      <c r="D26" s="394" t="s">
        <v>656</v>
      </c>
      <c r="E26" s="12"/>
      <c r="F26" s="43" t="s">
        <v>229</v>
      </c>
      <c r="G26" s="330">
        <v>3</v>
      </c>
      <c r="H26" s="392"/>
      <c r="I26" s="392">
        <f t="shared" si="0"/>
        <v>0</v>
      </c>
      <c r="J26" s="1"/>
      <c r="L26" s="1" t="s">
        <v>59</v>
      </c>
    </row>
    <row r="27" spans="1:12" ht="12.75">
      <c r="A27" s="43">
        <v>15</v>
      </c>
      <c r="B27" s="6"/>
      <c r="C27" s="6" t="s">
        <v>657</v>
      </c>
      <c r="D27" s="394" t="s">
        <v>658</v>
      </c>
      <c r="E27" s="12"/>
      <c r="F27" s="43" t="s">
        <v>229</v>
      </c>
      <c r="G27" s="330">
        <v>3</v>
      </c>
      <c r="H27" s="392"/>
      <c r="I27" s="392">
        <f t="shared" si="0"/>
        <v>0</v>
      </c>
      <c r="J27" s="1"/>
      <c r="L27" s="1" t="s">
        <v>59</v>
      </c>
    </row>
    <row r="28" spans="1:12" ht="25.5">
      <c r="A28" s="43">
        <v>16</v>
      </c>
      <c r="B28" s="6"/>
      <c r="C28" s="6" t="s">
        <v>659</v>
      </c>
      <c r="D28" s="394" t="s">
        <v>660</v>
      </c>
      <c r="E28" s="12"/>
      <c r="F28" s="43" t="s">
        <v>141</v>
      </c>
      <c r="G28" s="330">
        <v>500</v>
      </c>
      <c r="H28" s="392"/>
      <c r="I28" s="392">
        <f t="shared" si="0"/>
        <v>0</v>
      </c>
      <c r="J28" s="1"/>
      <c r="L28" s="1" t="s">
        <v>59</v>
      </c>
    </row>
    <row r="29" spans="1:12" ht="25.5">
      <c r="A29" s="43">
        <v>17</v>
      </c>
      <c r="B29" s="6"/>
      <c r="C29" s="6" t="s">
        <v>661</v>
      </c>
      <c r="D29" s="394" t="s">
        <v>662</v>
      </c>
      <c r="E29" s="12"/>
      <c r="F29" s="43" t="s">
        <v>141</v>
      </c>
      <c r="G29" s="330">
        <v>37</v>
      </c>
      <c r="H29" s="392"/>
      <c r="I29" s="392">
        <f t="shared" si="0"/>
        <v>0</v>
      </c>
      <c r="J29" s="1"/>
      <c r="L29" s="1" t="s">
        <v>59</v>
      </c>
    </row>
    <row r="30" spans="1:12" ht="25.5">
      <c r="A30" s="43">
        <v>18</v>
      </c>
      <c r="B30" s="6"/>
      <c r="C30" s="6" t="s">
        <v>663</v>
      </c>
      <c r="D30" s="394" t="s">
        <v>664</v>
      </c>
      <c r="E30" s="12"/>
      <c r="F30" s="43" t="s">
        <v>229</v>
      </c>
      <c r="G30" s="330">
        <v>3</v>
      </c>
      <c r="H30" s="392"/>
      <c r="I30" s="392">
        <f t="shared" si="0"/>
        <v>0</v>
      </c>
      <c r="J30" s="1"/>
      <c r="L30" s="1" t="s">
        <v>59</v>
      </c>
    </row>
    <row r="31" spans="1:12" ht="12.75">
      <c r="A31" s="43">
        <v>19</v>
      </c>
      <c r="B31" s="6"/>
      <c r="C31" s="6" t="s">
        <v>665</v>
      </c>
      <c r="D31" s="394" t="s">
        <v>666</v>
      </c>
      <c r="E31" s="12"/>
      <c r="F31" s="43" t="s">
        <v>141</v>
      </c>
      <c r="G31" s="330">
        <v>724</v>
      </c>
      <c r="H31" s="392"/>
      <c r="I31" s="392">
        <f t="shared" si="0"/>
        <v>0</v>
      </c>
      <c r="J31" s="1"/>
      <c r="L31" s="1" t="s">
        <v>59</v>
      </c>
    </row>
    <row r="32" spans="1:12" ht="25.5">
      <c r="A32" s="43">
        <v>20</v>
      </c>
      <c r="B32" s="6"/>
      <c r="C32" s="6">
        <v>460260011</v>
      </c>
      <c r="D32" s="394" t="s">
        <v>667</v>
      </c>
      <c r="E32" s="12"/>
      <c r="F32" s="43" t="s">
        <v>450</v>
      </c>
      <c r="G32" s="330">
        <v>18</v>
      </c>
      <c r="H32" s="392"/>
      <c r="I32" s="392">
        <f t="shared" si="0"/>
        <v>0</v>
      </c>
      <c r="J32" s="1"/>
      <c r="L32" s="1" t="s">
        <v>59</v>
      </c>
    </row>
    <row r="33" spans="1:12" ht="25.5">
      <c r="A33" s="43">
        <v>21</v>
      </c>
      <c r="B33" s="6"/>
      <c r="C33" s="6" t="s">
        <v>668</v>
      </c>
      <c r="D33" s="394" t="s">
        <v>669</v>
      </c>
      <c r="E33" s="12"/>
      <c r="F33" s="43" t="s">
        <v>141</v>
      </c>
      <c r="G33" s="330">
        <v>500</v>
      </c>
      <c r="H33" s="392"/>
      <c r="I33" s="392">
        <f t="shared" si="0"/>
        <v>0</v>
      </c>
      <c r="J33" s="1"/>
      <c r="L33" s="1" t="s">
        <v>59</v>
      </c>
    </row>
    <row r="34" spans="1:12" ht="12.75">
      <c r="A34" s="43">
        <v>22</v>
      </c>
      <c r="B34" s="6"/>
      <c r="C34" s="6" t="s">
        <v>670</v>
      </c>
      <c r="D34" s="394" t="s">
        <v>671</v>
      </c>
      <c r="E34" s="12"/>
      <c r="F34" s="43" t="s">
        <v>450</v>
      </c>
      <c r="G34" s="330">
        <v>12</v>
      </c>
      <c r="H34" s="392"/>
      <c r="I34" s="392">
        <f t="shared" si="0"/>
        <v>0</v>
      </c>
      <c r="J34" s="1"/>
      <c r="L34" s="1" t="s">
        <v>59</v>
      </c>
    </row>
    <row r="35" spans="1:12" ht="12.75">
      <c r="A35" s="43">
        <v>23</v>
      </c>
      <c r="B35" s="6"/>
      <c r="C35" s="6" t="s">
        <v>672</v>
      </c>
      <c r="D35" s="394" t="s">
        <v>673</v>
      </c>
      <c r="E35" s="12"/>
      <c r="F35" s="43" t="s">
        <v>450</v>
      </c>
      <c r="G35" s="330">
        <v>15</v>
      </c>
      <c r="H35" s="392"/>
      <c r="I35" s="392">
        <f t="shared" si="0"/>
        <v>0</v>
      </c>
      <c r="J35" s="1"/>
      <c r="L35" s="1" t="s">
        <v>59</v>
      </c>
    </row>
    <row r="36" spans="1:12" ht="12.75">
      <c r="A36" s="43">
        <v>24</v>
      </c>
      <c r="B36" s="6"/>
      <c r="C36" s="6" t="s">
        <v>674</v>
      </c>
      <c r="D36" s="394" t="s">
        <v>675</v>
      </c>
      <c r="E36" s="12"/>
      <c r="F36" s="43" t="s">
        <v>141</v>
      </c>
      <c r="G36" s="330">
        <v>537</v>
      </c>
      <c r="H36" s="392"/>
      <c r="I36" s="392">
        <f t="shared" si="0"/>
        <v>0</v>
      </c>
      <c r="J36" s="1"/>
      <c r="L36" s="1" t="s">
        <v>59</v>
      </c>
    </row>
    <row r="37" spans="1:12" ht="25.5">
      <c r="A37" s="43">
        <v>25</v>
      </c>
      <c r="B37" s="6"/>
      <c r="C37" s="6" t="s">
        <v>676</v>
      </c>
      <c r="D37" s="394" t="s">
        <v>677</v>
      </c>
      <c r="E37" s="12"/>
      <c r="F37" s="43" t="s">
        <v>141</v>
      </c>
      <c r="G37" s="330">
        <v>74</v>
      </c>
      <c r="H37" s="392"/>
      <c r="I37" s="392">
        <f t="shared" si="0"/>
        <v>0</v>
      </c>
      <c r="J37" s="1"/>
      <c r="L37" s="1" t="s">
        <v>59</v>
      </c>
    </row>
    <row r="38" spans="1:12" ht="25.5">
      <c r="A38" s="43">
        <v>26</v>
      </c>
      <c r="B38" s="6"/>
      <c r="C38" s="6" t="s">
        <v>678</v>
      </c>
      <c r="D38" s="394" t="s">
        <v>679</v>
      </c>
      <c r="E38" s="12"/>
      <c r="F38" s="43" t="s">
        <v>141</v>
      </c>
      <c r="G38" s="330">
        <v>74</v>
      </c>
      <c r="H38" s="392"/>
      <c r="I38" s="392">
        <f t="shared" si="0"/>
        <v>0</v>
      </c>
      <c r="J38" s="1"/>
      <c r="L38" s="1" t="s">
        <v>59</v>
      </c>
    </row>
    <row r="39" spans="1:12" ht="12.75">
      <c r="A39" s="43">
        <v>27</v>
      </c>
      <c r="B39" s="6"/>
      <c r="C39" s="6" t="s">
        <v>680</v>
      </c>
      <c r="D39" s="394" t="s">
        <v>681</v>
      </c>
      <c r="E39" s="12"/>
      <c r="F39" s="43" t="s">
        <v>141</v>
      </c>
      <c r="G39" s="330">
        <v>500</v>
      </c>
      <c r="H39" s="392"/>
      <c r="I39" s="392">
        <f t="shared" si="0"/>
        <v>0</v>
      </c>
      <c r="J39" s="1"/>
      <c r="L39" s="1" t="s">
        <v>59</v>
      </c>
    </row>
    <row r="40" spans="1:12" ht="25.5">
      <c r="A40" s="43">
        <v>28</v>
      </c>
      <c r="B40" s="6"/>
      <c r="C40" s="6" t="s">
        <v>682</v>
      </c>
      <c r="D40" s="394" t="s">
        <v>683</v>
      </c>
      <c r="E40" s="12"/>
      <c r="F40" s="43" t="s">
        <v>141</v>
      </c>
      <c r="G40" s="330">
        <v>74</v>
      </c>
      <c r="H40" s="392"/>
      <c r="I40" s="392">
        <f t="shared" si="0"/>
        <v>0</v>
      </c>
      <c r="J40" s="1"/>
      <c r="L40" s="1" t="s">
        <v>59</v>
      </c>
    </row>
    <row r="41" spans="1:12" ht="12.75">
      <c r="A41" s="43">
        <v>29</v>
      </c>
      <c r="B41" s="6"/>
      <c r="C41" s="6" t="s">
        <v>684</v>
      </c>
      <c r="D41" s="394" t="s">
        <v>685</v>
      </c>
      <c r="E41" s="12"/>
      <c r="F41" s="43" t="s">
        <v>229</v>
      </c>
      <c r="G41" s="330">
        <v>3</v>
      </c>
      <c r="H41" s="392"/>
      <c r="I41" s="392">
        <f t="shared" si="0"/>
        <v>0</v>
      </c>
      <c r="J41" s="1"/>
      <c r="L41" s="1" t="s">
        <v>59</v>
      </c>
    </row>
    <row r="42" spans="1:12" ht="25.5">
      <c r="A42" s="43">
        <v>30</v>
      </c>
      <c r="B42" s="6"/>
      <c r="C42" s="6" t="s">
        <v>686</v>
      </c>
      <c r="D42" s="394" t="s">
        <v>687</v>
      </c>
      <c r="E42" s="12"/>
      <c r="F42" s="43" t="s">
        <v>229</v>
      </c>
      <c r="G42" s="330">
        <v>3</v>
      </c>
      <c r="H42" s="392"/>
      <c r="I42" s="392">
        <f t="shared" si="0"/>
        <v>0</v>
      </c>
      <c r="J42" s="1"/>
      <c r="L42" s="1" t="s">
        <v>59</v>
      </c>
    </row>
    <row r="43" spans="1:12" ht="12.75">
      <c r="A43" s="43">
        <v>31</v>
      </c>
      <c r="B43" s="6"/>
      <c r="C43" s="6" t="s">
        <v>688</v>
      </c>
      <c r="D43" s="394" t="s">
        <v>689</v>
      </c>
      <c r="E43" s="12"/>
      <c r="F43" s="43" t="s">
        <v>277</v>
      </c>
      <c r="G43" s="330">
        <v>5</v>
      </c>
      <c r="H43" s="392"/>
      <c r="I43" s="392">
        <f t="shared" si="0"/>
        <v>0</v>
      </c>
      <c r="J43" s="1"/>
      <c r="L43" s="1" t="s">
        <v>59</v>
      </c>
    </row>
    <row r="44" spans="1:12" ht="25.5">
      <c r="A44" s="43">
        <v>32</v>
      </c>
      <c r="B44" s="6"/>
      <c r="C44" s="6" t="s">
        <v>690</v>
      </c>
      <c r="D44" s="394" t="s">
        <v>691</v>
      </c>
      <c r="E44" s="12"/>
      <c r="F44" s="43" t="s">
        <v>277</v>
      </c>
      <c r="G44" s="330">
        <v>5</v>
      </c>
      <c r="H44" s="392"/>
      <c r="I44" s="392">
        <f t="shared" si="0"/>
        <v>0</v>
      </c>
      <c r="J44" s="1"/>
      <c r="L44" s="1" t="s">
        <v>59</v>
      </c>
    </row>
    <row r="45" spans="1:12" ht="12.75">
      <c r="A45" s="43">
        <v>33</v>
      </c>
      <c r="B45" s="6"/>
      <c r="C45" s="6" t="s">
        <v>692</v>
      </c>
      <c r="D45" s="394" t="s">
        <v>693</v>
      </c>
      <c r="E45" s="12"/>
      <c r="F45" s="43" t="s">
        <v>140</v>
      </c>
      <c r="G45" s="330">
        <v>350</v>
      </c>
      <c r="H45" s="392"/>
      <c r="I45" s="392">
        <f t="shared" si="0"/>
        <v>0</v>
      </c>
      <c r="J45" s="1"/>
      <c r="L45" s="1" t="s">
        <v>59</v>
      </c>
    </row>
    <row r="46" spans="1:12" ht="25.5">
      <c r="A46" s="43">
        <v>34</v>
      </c>
      <c r="B46" s="6"/>
      <c r="C46" s="6" t="s">
        <v>694</v>
      </c>
      <c r="D46" s="394" t="s">
        <v>695</v>
      </c>
      <c r="E46" s="12"/>
      <c r="F46" s="43" t="s">
        <v>140</v>
      </c>
      <c r="G46" s="330">
        <v>15</v>
      </c>
      <c r="H46" s="392"/>
      <c r="I46" s="392">
        <f t="shared" si="0"/>
        <v>0</v>
      </c>
      <c r="J46" s="1"/>
      <c r="L46" s="1" t="s">
        <v>59</v>
      </c>
    </row>
    <row r="47" spans="1:12" ht="25.5">
      <c r="A47" s="43">
        <v>35</v>
      </c>
      <c r="B47" s="6"/>
      <c r="C47" s="6" t="s">
        <v>696</v>
      </c>
      <c r="D47" s="394" t="s">
        <v>697</v>
      </c>
      <c r="E47" s="12"/>
      <c r="F47" s="43" t="s">
        <v>140</v>
      </c>
      <c r="G47" s="330">
        <v>15</v>
      </c>
      <c r="H47" s="392"/>
      <c r="I47" s="392">
        <f t="shared" si="0"/>
        <v>0</v>
      </c>
      <c r="J47" s="1"/>
      <c r="L47" s="1" t="s">
        <v>59</v>
      </c>
    </row>
    <row r="48" spans="1:12" ht="25.5">
      <c r="A48" s="43">
        <v>36</v>
      </c>
      <c r="B48" s="6"/>
      <c r="C48" s="6" t="s">
        <v>698</v>
      </c>
      <c r="D48" s="394" t="s">
        <v>699</v>
      </c>
      <c r="E48" s="12"/>
      <c r="F48" s="43" t="s">
        <v>140</v>
      </c>
      <c r="G48" s="330">
        <v>20</v>
      </c>
      <c r="H48" s="392"/>
      <c r="I48" s="392">
        <f t="shared" si="0"/>
        <v>0</v>
      </c>
      <c r="J48" s="1"/>
      <c r="L48" s="1" t="s">
        <v>59</v>
      </c>
    </row>
    <row r="49" spans="1:12" ht="25.5">
      <c r="A49" s="43">
        <v>37</v>
      </c>
      <c r="B49" s="6"/>
      <c r="C49" s="6" t="s">
        <v>700</v>
      </c>
      <c r="D49" s="394" t="s">
        <v>701</v>
      </c>
      <c r="E49" s="12"/>
      <c r="F49" s="43" t="s">
        <v>140</v>
      </c>
      <c r="G49" s="330">
        <v>20</v>
      </c>
      <c r="H49" s="392"/>
      <c r="I49" s="392">
        <f t="shared" si="0"/>
        <v>0</v>
      </c>
      <c r="J49" s="227"/>
      <c r="K49" s="228">
        <f>G49*J49</f>
        <v>0</v>
      </c>
      <c r="L49" s="1" t="s">
        <v>59</v>
      </c>
    </row>
    <row r="50" spans="2:12" ht="12.75">
      <c r="B50" s="6"/>
      <c r="C50" s="42"/>
      <c r="D50" s="394"/>
      <c r="E50" s="12"/>
      <c r="F50" s="43"/>
      <c r="G50" s="352" t="s">
        <v>19</v>
      </c>
      <c r="H50" s="76"/>
      <c r="I50" s="63">
        <f>SUM(I13:I49)</f>
        <v>0</v>
      </c>
      <c r="J50" s="76"/>
      <c r="K50" s="63">
        <f>SUM(K31:K31)</f>
        <v>0</v>
      </c>
      <c r="L50" s="77">
        <f>SUM(L31:L31)</f>
        <v>0</v>
      </c>
    </row>
    <row r="51" spans="1:12" ht="12.75">
      <c r="A51" s="6"/>
      <c r="B51" s="6"/>
      <c r="C51" s="391" t="s">
        <v>702</v>
      </c>
      <c r="D51" s="394"/>
      <c r="E51" s="12"/>
      <c r="F51" s="43"/>
      <c r="G51" s="393"/>
      <c r="H51" s="64"/>
      <c r="I51" s="66"/>
      <c r="J51" s="64"/>
      <c r="K51" s="66"/>
      <c r="L51" s="67"/>
    </row>
    <row r="52" spans="1:12" ht="12.75">
      <c r="A52" s="43">
        <v>38</v>
      </c>
      <c r="B52" s="6"/>
      <c r="C52" s="6">
        <v>210100005</v>
      </c>
      <c r="D52" s="394" t="s">
        <v>703</v>
      </c>
      <c r="E52" s="12"/>
      <c r="F52" s="43" t="s">
        <v>450</v>
      </c>
      <c r="G52" s="330">
        <v>8</v>
      </c>
      <c r="H52" s="392"/>
      <c r="I52" s="392">
        <f aca="true" t="shared" si="1" ref="I52:I87">(G52*H52)</f>
        <v>0</v>
      </c>
      <c r="J52" s="1"/>
      <c r="L52" s="1" t="s">
        <v>59</v>
      </c>
    </row>
    <row r="53" spans="1:12" ht="25.5">
      <c r="A53" s="43">
        <v>39</v>
      </c>
      <c r="B53" s="6"/>
      <c r="C53" s="6" t="s">
        <v>704</v>
      </c>
      <c r="D53" s="394" t="s">
        <v>705</v>
      </c>
      <c r="E53" s="12"/>
      <c r="F53" s="43" t="s">
        <v>450</v>
      </c>
      <c r="G53" s="330">
        <v>2</v>
      </c>
      <c r="H53" s="392"/>
      <c r="I53" s="392">
        <f t="shared" si="1"/>
        <v>0</v>
      </c>
      <c r="J53" s="1"/>
      <c r="L53" s="1" t="s">
        <v>59</v>
      </c>
    </row>
    <row r="54" spans="1:12" ht="25.5">
      <c r="A54" s="43">
        <v>40</v>
      </c>
      <c r="B54" s="6"/>
      <c r="C54" s="6" t="s">
        <v>706</v>
      </c>
      <c r="D54" s="394" t="s">
        <v>707</v>
      </c>
      <c r="E54" s="12"/>
      <c r="F54" s="43" t="s">
        <v>450</v>
      </c>
      <c r="G54" s="330">
        <v>13</v>
      </c>
      <c r="H54" s="392"/>
      <c r="I54" s="392">
        <f t="shared" si="1"/>
        <v>0</v>
      </c>
      <c r="J54" s="1"/>
      <c r="L54" s="1" t="s">
        <v>59</v>
      </c>
    </row>
    <row r="55" spans="1:12" ht="25.5">
      <c r="A55" s="43">
        <v>41</v>
      </c>
      <c r="B55" s="6"/>
      <c r="C55" s="6" t="s">
        <v>708</v>
      </c>
      <c r="D55" s="394" t="s">
        <v>709</v>
      </c>
      <c r="E55" s="12"/>
      <c r="F55" s="43" t="s">
        <v>142</v>
      </c>
      <c r="G55" s="330">
        <v>1</v>
      </c>
      <c r="H55" s="392"/>
      <c r="I55" s="392">
        <f t="shared" si="1"/>
        <v>0</v>
      </c>
      <c r="J55" s="1"/>
      <c r="L55" s="1" t="s">
        <v>59</v>
      </c>
    </row>
    <row r="56" spans="1:12" ht="25.5">
      <c r="A56" s="43">
        <v>42</v>
      </c>
      <c r="B56" s="6"/>
      <c r="C56" s="6" t="s">
        <v>710</v>
      </c>
      <c r="D56" s="394" t="s">
        <v>711</v>
      </c>
      <c r="E56" s="12"/>
      <c r="F56" s="43" t="s">
        <v>142</v>
      </c>
      <c r="G56" s="330">
        <v>12</v>
      </c>
      <c r="H56" s="392"/>
      <c r="I56" s="392">
        <f t="shared" si="1"/>
        <v>0</v>
      </c>
      <c r="J56" s="1"/>
      <c r="L56" s="1" t="s">
        <v>59</v>
      </c>
    </row>
    <row r="57" spans="1:12" ht="25.5">
      <c r="A57" s="43">
        <v>43</v>
      </c>
      <c r="B57" s="6"/>
      <c r="C57" s="6" t="s">
        <v>712</v>
      </c>
      <c r="D57" s="394" t="s">
        <v>713</v>
      </c>
      <c r="E57" s="12"/>
      <c r="F57" s="43" t="s">
        <v>142</v>
      </c>
      <c r="G57" s="330">
        <v>1</v>
      </c>
      <c r="H57" s="392"/>
      <c r="I57" s="392">
        <f t="shared" si="1"/>
        <v>0</v>
      </c>
      <c r="J57" s="1"/>
      <c r="L57" s="1" t="s">
        <v>59</v>
      </c>
    </row>
    <row r="58" spans="1:12" ht="12.75">
      <c r="A58" s="43">
        <v>44</v>
      </c>
      <c r="B58" s="6"/>
      <c r="C58" s="6" t="s">
        <v>714</v>
      </c>
      <c r="D58" s="394" t="s">
        <v>715</v>
      </c>
      <c r="E58" s="12"/>
      <c r="F58" s="43" t="s">
        <v>142</v>
      </c>
      <c r="G58" s="330">
        <v>1</v>
      </c>
      <c r="H58" s="392"/>
      <c r="I58" s="392">
        <f t="shared" si="1"/>
        <v>0</v>
      </c>
      <c r="J58" s="1"/>
      <c r="L58" s="1" t="s">
        <v>59</v>
      </c>
    </row>
    <row r="59" spans="1:12" ht="25.5">
      <c r="A59" s="43">
        <v>45</v>
      </c>
      <c r="B59" s="6"/>
      <c r="C59" s="6" t="s">
        <v>716</v>
      </c>
      <c r="D59" s="394" t="s">
        <v>717</v>
      </c>
      <c r="E59" s="12"/>
      <c r="F59" s="43" t="s">
        <v>450</v>
      </c>
      <c r="G59" s="330">
        <v>8</v>
      </c>
      <c r="H59" s="392"/>
      <c r="I59" s="392">
        <f t="shared" si="1"/>
        <v>0</v>
      </c>
      <c r="J59" s="1"/>
      <c r="L59" s="1" t="s">
        <v>59</v>
      </c>
    </row>
    <row r="60" spans="1:12" ht="25.5">
      <c r="A60" s="43">
        <v>46</v>
      </c>
      <c r="B60" s="6"/>
      <c r="C60" s="6" t="s">
        <v>718</v>
      </c>
      <c r="D60" s="394" t="s">
        <v>719</v>
      </c>
      <c r="E60" s="12"/>
      <c r="F60" s="43" t="s">
        <v>141</v>
      </c>
      <c r="G60" s="330">
        <v>30</v>
      </c>
      <c r="H60" s="392"/>
      <c r="I60" s="392">
        <f t="shared" si="1"/>
        <v>0</v>
      </c>
      <c r="J60" s="1"/>
      <c r="L60" s="1" t="s">
        <v>59</v>
      </c>
    </row>
    <row r="61" spans="1:12" ht="51">
      <c r="A61" s="43">
        <v>47</v>
      </c>
      <c r="B61" s="6"/>
      <c r="C61" s="6"/>
      <c r="D61" s="394" t="s">
        <v>720</v>
      </c>
      <c r="E61" s="12"/>
      <c r="F61" s="43"/>
      <c r="G61" s="330">
        <v>0.2</v>
      </c>
      <c r="H61" s="392"/>
      <c r="I61" s="392">
        <f t="shared" si="1"/>
        <v>0</v>
      </c>
      <c r="J61" s="1"/>
      <c r="L61" s="1" t="s">
        <v>59</v>
      </c>
    </row>
    <row r="62" spans="2:12" ht="12.75">
      <c r="B62" s="6"/>
      <c r="C62" s="391" t="s">
        <v>625</v>
      </c>
      <c r="D62" s="394"/>
      <c r="E62" s="2"/>
      <c r="F62" s="12"/>
      <c r="G62" s="43"/>
      <c r="H62" s="66"/>
      <c r="I62" s="67">
        <f t="shared" si="1"/>
        <v>0</v>
      </c>
      <c r="L62" s="2"/>
    </row>
    <row r="63" spans="1:12" ht="25.5">
      <c r="A63" s="43">
        <v>48</v>
      </c>
      <c r="B63" s="6"/>
      <c r="C63" s="6" t="s">
        <v>721</v>
      </c>
      <c r="D63" s="394" t="s">
        <v>722</v>
      </c>
      <c r="E63" s="12"/>
      <c r="F63" s="43" t="s">
        <v>141</v>
      </c>
      <c r="G63" s="330">
        <v>50</v>
      </c>
      <c r="H63" s="392"/>
      <c r="I63" s="392">
        <f t="shared" si="1"/>
        <v>0</v>
      </c>
      <c r="J63" s="1"/>
      <c r="L63" s="1" t="s">
        <v>59</v>
      </c>
    </row>
    <row r="64" spans="1:12" ht="25.5">
      <c r="A64" s="43">
        <v>49</v>
      </c>
      <c r="B64" s="6"/>
      <c r="C64" s="6" t="s">
        <v>723</v>
      </c>
      <c r="D64" s="394" t="s">
        <v>724</v>
      </c>
      <c r="E64" s="12"/>
      <c r="F64" s="43" t="s">
        <v>141</v>
      </c>
      <c r="G64" s="330">
        <v>20</v>
      </c>
      <c r="H64" s="392"/>
      <c r="I64" s="392">
        <f t="shared" si="1"/>
        <v>0</v>
      </c>
      <c r="J64" s="1"/>
      <c r="L64" s="1" t="s">
        <v>59</v>
      </c>
    </row>
    <row r="65" spans="1:12" ht="25.5">
      <c r="A65" s="43">
        <v>50</v>
      </c>
      <c r="B65" s="6"/>
      <c r="C65" s="6" t="s">
        <v>725</v>
      </c>
      <c r="D65" s="394" t="s">
        <v>726</v>
      </c>
      <c r="E65" s="12"/>
      <c r="F65" s="43" t="s">
        <v>142</v>
      </c>
      <c r="G65" s="330">
        <v>200</v>
      </c>
      <c r="H65" s="392"/>
      <c r="I65" s="392">
        <f t="shared" si="1"/>
        <v>0</v>
      </c>
      <c r="J65" s="1"/>
      <c r="L65" s="1" t="s">
        <v>59</v>
      </c>
    </row>
    <row r="66" spans="1:12" ht="25.5">
      <c r="A66" s="43">
        <v>51</v>
      </c>
      <c r="B66" s="6"/>
      <c r="C66" s="6" t="s">
        <v>727</v>
      </c>
      <c r="D66" s="394" t="s">
        <v>728</v>
      </c>
      <c r="E66" s="12"/>
      <c r="F66" s="43" t="s">
        <v>142</v>
      </c>
      <c r="G66" s="330">
        <v>50</v>
      </c>
      <c r="H66" s="392"/>
      <c r="I66" s="392">
        <f t="shared" si="1"/>
        <v>0</v>
      </c>
      <c r="J66" s="1"/>
      <c r="L66" s="1" t="s">
        <v>59</v>
      </c>
    </row>
    <row r="67" spans="1:12" ht="25.5">
      <c r="A67" s="43">
        <v>52</v>
      </c>
      <c r="B67" s="6"/>
      <c r="C67" s="6" t="s">
        <v>729</v>
      </c>
      <c r="D67" s="394" t="s">
        <v>730</v>
      </c>
      <c r="E67" s="12"/>
      <c r="F67" s="43" t="s">
        <v>142</v>
      </c>
      <c r="G67" s="330">
        <v>3</v>
      </c>
      <c r="H67" s="392"/>
      <c r="I67" s="392">
        <f t="shared" si="1"/>
        <v>0</v>
      </c>
      <c r="J67" s="1"/>
      <c r="L67" s="1" t="s">
        <v>59</v>
      </c>
    </row>
    <row r="68" spans="1:12" ht="12.75">
      <c r="A68" s="43">
        <v>53</v>
      </c>
      <c r="B68" s="6"/>
      <c r="C68" s="6" t="s">
        <v>731</v>
      </c>
      <c r="D68" s="394" t="s">
        <v>732</v>
      </c>
      <c r="E68" s="12"/>
      <c r="F68" s="43" t="s">
        <v>142</v>
      </c>
      <c r="G68" s="330">
        <v>52</v>
      </c>
      <c r="H68" s="392"/>
      <c r="I68" s="392">
        <f t="shared" si="1"/>
        <v>0</v>
      </c>
      <c r="J68" s="1"/>
      <c r="L68" s="1" t="s">
        <v>59</v>
      </c>
    </row>
    <row r="69" spans="1:12" ht="25.5">
      <c r="A69" s="43">
        <v>54</v>
      </c>
      <c r="B69" s="6"/>
      <c r="C69" s="6" t="s">
        <v>733</v>
      </c>
      <c r="D69" s="394" t="s">
        <v>734</v>
      </c>
      <c r="E69" s="12"/>
      <c r="F69" s="43" t="s">
        <v>142</v>
      </c>
      <c r="G69" s="330">
        <v>18</v>
      </c>
      <c r="H69" s="392"/>
      <c r="I69" s="392">
        <f t="shared" si="1"/>
        <v>0</v>
      </c>
      <c r="J69" s="1"/>
      <c r="L69" s="1" t="s">
        <v>59</v>
      </c>
    </row>
    <row r="70" spans="1:12" ht="12.75">
      <c r="A70" s="43">
        <v>55</v>
      </c>
      <c r="B70" s="6"/>
      <c r="C70" s="6" t="s">
        <v>735</v>
      </c>
      <c r="D70" s="394" t="s">
        <v>736</v>
      </c>
      <c r="E70" s="12"/>
      <c r="F70" s="43" t="s">
        <v>142</v>
      </c>
      <c r="G70" s="330">
        <v>19</v>
      </c>
      <c r="H70" s="392"/>
      <c r="I70" s="392">
        <f t="shared" si="1"/>
        <v>0</v>
      </c>
      <c r="J70" s="1"/>
      <c r="L70" s="1" t="s">
        <v>59</v>
      </c>
    </row>
    <row r="71" spans="1:12" ht="12.75">
      <c r="A71" s="43">
        <v>56</v>
      </c>
      <c r="B71" s="6"/>
      <c r="C71" s="6" t="s">
        <v>737</v>
      </c>
      <c r="D71" s="394" t="s">
        <v>738</v>
      </c>
      <c r="E71" s="12"/>
      <c r="F71" s="43" t="s">
        <v>142</v>
      </c>
      <c r="G71" s="330">
        <v>18</v>
      </c>
      <c r="H71" s="392"/>
      <c r="I71" s="392">
        <f t="shared" si="1"/>
        <v>0</v>
      </c>
      <c r="J71" s="1"/>
      <c r="L71" s="1" t="s">
        <v>59</v>
      </c>
    </row>
    <row r="72" spans="1:12" ht="25.5">
      <c r="A72" s="43">
        <v>57</v>
      </c>
      <c r="B72" s="6"/>
      <c r="C72" s="6">
        <v>210204201</v>
      </c>
      <c r="D72" s="394" t="s">
        <v>739</v>
      </c>
      <c r="E72" s="12"/>
      <c r="F72" s="43" t="s">
        <v>142</v>
      </c>
      <c r="G72" s="330">
        <v>18</v>
      </c>
      <c r="H72" s="392"/>
      <c r="I72" s="392">
        <f t="shared" si="1"/>
        <v>0</v>
      </c>
      <c r="J72" s="1"/>
      <c r="L72" s="1" t="s">
        <v>59</v>
      </c>
    </row>
    <row r="73" spans="1:12" ht="25.5">
      <c r="A73" s="43">
        <v>58</v>
      </c>
      <c r="B73" s="6"/>
      <c r="C73" s="6" t="s">
        <v>740</v>
      </c>
      <c r="D73" s="394" t="s">
        <v>741</v>
      </c>
      <c r="E73" s="12"/>
      <c r="F73" s="43" t="s">
        <v>141</v>
      </c>
      <c r="G73" s="330">
        <v>30</v>
      </c>
      <c r="H73" s="392"/>
      <c r="I73" s="392">
        <f t="shared" si="1"/>
        <v>0</v>
      </c>
      <c r="J73" s="1"/>
      <c r="L73" s="1" t="s">
        <v>59</v>
      </c>
    </row>
    <row r="74" spans="1:12" ht="25.5">
      <c r="A74" s="43">
        <v>59</v>
      </c>
      <c r="B74" s="6"/>
      <c r="C74" s="6" t="s">
        <v>742</v>
      </c>
      <c r="D74" s="394" t="s">
        <v>743</v>
      </c>
      <c r="E74" s="12"/>
      <c r="F74" s="43" t="s">
        <v>141</v>
      </c>
      <c r="G74" s="330">
        <v>700</v>
      </c>
      <c r="H74" s="392"/>
      <c r="I74" s="392">
        <f t="shared" si="1"/>
        <v>0</v>
      </c>
      <c r="J74" s="1"/>
      <c r="L74" s="1" t="s">
        <v>59</v>
      </c>
    </row>
    <row r="75" spans="1:12" ht="12.75">
      <c r="A75" s="43">
        <v>60</v>
      </c>
      <c r="B75" s="6"/>
      <c r="C75" s="6" t="s">
        <v>744</v>
      </c>
      <c r="D75" s="394" t="s">
        <v>745</v>
      </c>
      <c r="E75" s="12"/>
      <c r="F75" s="43" t="s">
        <v>142</v>
      </c>
      <c r="G75" s="330">
        <v>30</v>
      </c>
      <c r="H75" s="392"/>
      <c r="I75" s="392">
        <f t="shared" si="1"/>
        <v>0</v>
      </c>
      <c r="J75" s="1"/>
      <c r="L75" s="1" t="s">
        <v>59</v>
      </c>
    </row>
    <row r="76" spans="1:12" ht="25.5">
      <c r="A76" s="43">
        <v>61</v>
      </c>
      <c r="B76" s="6"/>
      <c r="C76" s="6" t="s">
        <v>746</v>
      </c>
      <c r="D76" s="394" t="s">
        <v>747</v>
      </c>
      <c r="E76" s="12"/>
      <c r="F76" s="43" t="s">
        <v>142</v>
      </c>
      <c r="G76" s="330">
        <v>18</v>
      </c>
      <c r="H76" s="392"/>
      <c r="I76" s="392">
        <f t="shared" si="1"/>
        <v>0</v>
      </c>
      <c r="J76" s="1"/>
      <c r="L76" s="1" t="s">
        <v>59</v>
      </c>
    </row>
    <row r="77" spans="1:12" ht="12.75">
      <c r="A77" s="43">
        <v>62</v>
      </c>
      <c r="B77" s="6"/>
      <c r="C77" s="6" t="s">
        <v>748</v>
      </c>
      <c r="D77" s="394" t="s">
        <v>749</v>
      </c>
      <c r="E77" s="12"/>
      <c r="F77" s="43" t="s">
        <v>142</v>
      </c>
      <c r="G77" s="330">
        <v>30</v>
      </c>
      <c r="H77" s="392"/>
      <c r="I77" s="392">
        <f t="shared" si="1"/>
        <v>0</v>
      </c>
      <c r="J77" s="1"/>
      <c r="L77" s="1" t="s">
        <v>59</v>
      </c>
    </row>
    <row r="78" spans="1:12" ht="25.5">
      <c r="A78" s="43">
        <v>63</v>
      </c>
      <c r="B78" s="6"/>
      <c r="C78" s="6" t="s">
        <v>716</v>
      </c>
      <c r="D78" s="394" t="s">
        <v>717</v>
      </c>
      <c r="E78" s="12"/>
      <c r="F78" s="43" t="s">
        <v>450</v>
      </c>
      <c r="G78" s="330">
        <v>10</v>
      </c>
      <c r="H78" s="392"/>
      <c r="I78" s="392">
        <f t="shared" si="1"/>
        <v>0</v>
      </c>
      <c r="J78" s="1"/>
      <c r="L78" s="1" t="s">
        <v>59</v>
      </c>
    </row>
    <row r="79" spans="1:12" ht="25.5">
      <c r="A79" s="43">
        <v>64</v>
      </c>
      <c r="B79" s="6"/>
      <c r="C79" s="6" t="s">
        <v>750</v>
      </c>
      <c r="D79" s="394" t="s">
        <v>751</v>
      </c>
      <c r="E79" s="12"/>
      <c r="F79" s="43" t="s">
        <v>141</v>
      </c>
      <c r="G79" s="330">
        <v>95</v>
      </c>
      <c r="H79" s="392"/>
      <c r="I79" s="392">
        <f t="shared" si="1"/>
        <v>0</v>
      </c>
      <c r="J79" s="1"/>
      <c r="L79" s="1" t="s">
        <v>59</v>
      </c>
    </row>
    <row r="80" spans="1:12" ht="25.5">
      <c r="A80" s="43">
        <v>65</v>
      </c>
      <c r="B80" s="6"/>
      <c r="C80" s="6" t="s">
        <v>752</v>
      </c>
      <c r="D80" s="394" t="s">
        <v>753</v>
      </c>
      <c r="E80" s="12"/>
      <c r="F80" s="43" t="s">
        <v>141</v>
      </c>
      <c r="G80" s="330">
        <v>755</v>
      </c>
      <c r="H80" s="392"/>
      <c r="I80" s="392">
        <f t="shared" si="1"/>
        <v>0</v>
      </c>
      <c r="J80" s="1"/>
      <c r="L80" s="1" t="s">
        <v>59</v>
      </c>
    </row>
    <row r="81" spans="1:12" ht="25.5">
      <c r="A81" s="43">
        <v>66</v>
      </c>
      <c r="B81" s="6"/>
      <c r="C81" s="6" t="s">
        <v>754</v>
      </c>
      <c r="D81" s="394" t="s">
        <v>755</v>
      </c>
      <c r="E81" s="12"/>
      <c r="F81" s="43" t="s">
        <v>141</v>
      </c>
      <c r="G81" s="330">
        <v>850</v>
      </c>
      <c r="H81" s="392"/>
      <c r="I81" s="392">
        <f t="shared" si="1"/>
        <v>0</v>
      </c>
      <c r="J81" s="1"/>
      <c r="L81" s="1" t="s">
        <v>59</v>
      </c>
    </row>
    <row r="82" spans="2:12" ht="12.75">
      <c r="B82" s="6"/>
      <c r="C82" s="391" t="s">
        <v>756</v>
      </c>
      <c r="D82" s="394"/>
      <c r="E82" s="2"/>
      <c r="F82" s="12"/>
      <c r="G82" s="43"/>
      <c r="H82" s="66"/>
      <c r="I82" s="67">
        <f t="shared" si="1"/>
        <v>0</v>
      </c>
      <c r="L82" s="2"/>
    </row>
    <row r="83" spans="1:12" ht="12.75">
      <c r="A83" s="43">
        <v>67</v>
      </c>
      <c r="B83" s="6"/>
      <c r="C83" s="6" t="s">
        <v>757</v>
      </c>
      <c r="D83" s="394" t="s">
        <v>758</v>
      </c>
      <c r="E83" s="12"/>
      <c r="F83" s="43" t="s">
        <v>140</v>
      </c>
      <c r="G83" s="330">
        <v>36</v>
      </c>
      <c r="H83" s="392"/>
      <c r="I83" s="392">
        <f t="shared" si="1"/>
        <v>0</v>
      </c>
      <c r="J83" s="1"/>
      <c r="L83" s="1" t="s">
        <v>59</v>
      </c>
    </row>
    <row r="84" spans="1:12" ht="12.75">
      <c r="A84" s="43">
        <v>68</v>
      </c>
      <c r="B84" s="6"/>
      <c r="C84" s="6" t="s">
        <v>759</v>
      </c>
      <c r="D84" s="394" t="s">
        <v>760</v>
      </c>
      <c r="E84" s="12"/>
      <c r="F84" s="43" t="s">
        <v>140</v>
      </c>
      <c r="G84" s="330">
        <v>36</v>
      </c>
      <c r="H84" s="392"/>
      <c r="I84" s="392">
        <f t="shared" si="1"/>
        <v>0</v>
      </c>
      <c r="J84" s="1"/>
      <c r="L84" s="1" t="s">
        <v>59</v>
      </c>
    </row>
    <row r="85" spans="1:12" ht="25.5">
      <c r="A85" s="43">
        <v>69</v>
      </c>
      <c r="B85" s="6"/>
      <c r="C85" s="6" t="s">
        <v>761</v>
      </c>
      <c r="D85" s="394" t="s">
        <v>762</v>
      </c>
      <c r="E85" s="12"/>
      <c r="F85" s="43" t="s">
        <v>140</v>
      </c>
      <c r="G85" s="330">
        <v>36</v>
      </c>
      <c r="H85" s="392"/>
      <c r="I85" s="392">
        <f t="shared" si="1"/>
        <v>0</v>
      </c>
      <c r="J85" s="1"/>
      <c r="L85" s="1" t="s">
        <v>59</v>
      </c>
    </row>
    <row r="86" spans="1:12" ht="25.5">
      <c r="A86" s="43">
        <v>70</v>
      </c>
      <c r="B86" s="6"/>
      <c r="C86" s="6" t="s">
        <v>763</v>
      </c>
      <c r="D86" s="394" t="s">
        <v>764</v>
      </c>
      <c r="E86" s="12"/>
      <c r="F86" s="43" t="s">
        <v>140</v>
      </c>
      <c r="G86" s="330">
        <v>72</v>
      </c>
      <c r="H86" s="392"/>
      <c r="I86" s="392">
        <f t="shared" si="1"/>
        <v>0</v>
      </c>
      <c r="J86" s="1"/>
      <c r="L86" s="1" t="s">
        <v>59</v>
      </c>
    </row>
    <row r="87" spans="1:12" ht="12.75">
      <c r="A87" s="43">
        <v>71</v>
      </c>
      <c r="B87" s="6"/>
      <c r="C87" s="6" t="s">
        <v>765</v>
      </c>
      <c r="D87" s="394" t="s">
        <v>766</v>
      </c>
      <c r="E87" s="12"/>
      <c r="F87" s="43" t="s">
        <v>142</v>
      </c>
      <c r="G87" s="330">
        <v>60</v>
      </c>
      <c r="H87" s="392"/>
      <c r="I87" s="392">
        <f t="shared" si="1"/>
        <v>0</v>
      </c>
      <c r="J87" s="1"/>
      <c r="L87" s="1" t="s">
        <v>59</v>
      </c>
    </row>
    <row r="88" spans="1:12" ht="12.75">
      <c r="A88" s="6"/>
      <c r="B88" s="6"/>
      <c r="C88" s="42"/>
      <c r="D88" s="394"/>
      <c r="E88" s="12"/>
      <c r="F88" s="43"/>
      <c r="G88" s="352" t="s">
        <v>19</v>
      </c>
      <c r="H88" s="76"/>
      <c r="I88" s="63">
        <f>SUM(I52:I87)</f>
        <v>0</v>
      </c>
      <c r="J88" s="76"/>
      <c r="K88" s="63">
        <f>SUM(K69:K69)</f>
        <v>0</v>
      </c>
      <c r="L88" s="77">
        <f>SUM(L69:L69)</f>
        <v>0</v>
      </c>
    </row>
    <row r="89" spans="1:12" ht="12.75">
      <c r="A89" s="6"/>
      <c r="B89" s="6"/>
      <c r="C89" s="391" t="s">
        <v>626</v>
      </c>
      <c r="D89" s="6"/>
      <c r="E89" s="12"/>
      <c r="F89" s="393"/>
      <c r="G89" s="64"/>
      <c r="H89" s="66"/>
      <c r="I89" s="67"/>
      <c r="L89" s="2"/>
    </row>
    <row r="90" spans="1:12" ht="12.75">
      <c r="A90" s="43">
        <v>72</v>
      </c>
      <c r="B90" s="6"/>
      <c r="C90" s="6"/>
      <c r="D90" s="394" t="s">
        <v>767</v>
      </c>
      <c r="E90" s="12"/>
      <c r="F90" s="43" t="s">
        <v>141</v>
      </c>
      <c r="G90" s="330">
        <v>95</v>
      </c>
      <c r="H90" s="392"/>
      <c r="I90" s="392">
        <f aca="true" t="shared" si="2" ref="I90:I109">(G90*H90)</f>
        <v>0</v>
      </c>
      <c r="J90" s="1"/>
      <c r="L90" s="1" t="s">
        <v>59</v>
      </c>
    </row>
    <row r="91" spans="1:12" ht="12.75">
      <c r="A91" s="43">
        <v>73</v>
      </c>
      <c r="B91" s="6"/>
      <c r="C91" s="6"/>
      <c r="D91" s="394" t="s">
        <v>768</v>
      </c>
      <c r="E91" s="12"/>
      <c r="F91" s="43" t="s">
        <v>141</v>
      </c>
      <c r="G91" s="330">
        <v>755</v>
      </c>
      <c r="H91" s="392"/>
      <c r="I91" s="392">
        <f t="shared" si="2"/>
        <v>0</v>
      </c>
      <c r="J91" s="1"/>
      <c r="L91" s="1" t="s">
        <v>59</v>
      </c>
    </row>
    <row r="92" spans="1:12" ht="12.75">
      <c r="A92" s="43">
        <v>74</v>
      </c>
      <c r="B92" s="6"/>
      <c r="C92" s="6"/>
      <c r="D92" s="394" t="s">
        <v>769</v>
      </c>
      <c r="E92" s="12"/>
      <c r="F92" s="43" t="s">
        <v>141</v>
      </c>
      <c r="G92" s="330">
        <v>80</v>
      </c>
      <c r="H92" s="392"/>
      <c r="I92" s="392">
        <f t="shared" si="2"/>
        <v>0</v>
      </c>
      <c r="J92" s="1"/>
      <c r="L92" s="1" t="s">
        <v>59</v>
      </c>
    </row>
    <row r="93" spans="1:12" ht="25.5">
      <c r="A93" s="43">
        <v>75</v>
      </c>
      <c r="B93" s="6"/>
      <c r="C93" s="6"/>
      <c r="D93" s="394" t="s">
        <v>770</v>
      </c>
      <c r="E93" s="12"/>
      <c r="F93" s="43" t="s">
        <v>141</v>
      </c>
      <c r="G93" s="330">
        <v>20</v>
      </c>
      <c r="H93" s="392"/>
      <c r="I93" s="392">
        <f t="shared" si="2"/>
        <v>0</v>
      </c>
      <c r="J93" s="1"/>
      <c r="L93" s="1" t="s">
        <v>59</v>
      </c>
    </row>
    <row r="94" spans="1:12" ht="12.75">
      <c r="A94" s="43">
        <v>76</v>
      </c>
      <c r="B94" s="6"/>
      <c r="C94" s="6"/>
      <c r="D94" s="394" t="s">
        <v>771</v>
      </c>
      <c r="E94" s="12"/>
      <c r="F94" s="43" t="s">
        <v>142</v>
      </c>
      <c r="G94" s="330">
        <v>18</v>
      </c>
      <c r="H94" s="392"/>
      <c r="I94" s="392">
        <f t="shared" si="2"/>
        <v>0</v>
      </c>
      <c r="J94" s="1"/>
      <c r="L94" s="1" t="s">
        <v>59</v>
      </c>
    </row>
    <row r="95" spans="1:12" ht="12.75">
      <c r="A95" s="43">
        <v>77</v>
      </c>
      <c r="B95" s="6"/>
      <c r="C95" s="6"/>
      <c r="D95" s="394" t="s">
        <v>772</v>
      </c>
      <c r="E95" s="12"/>
      <c r="F95" s="43" t="s">
        <v>142</v>
      </c>
      <c r="G95" s="330">
        <v>1</v>
      </c>
      <c r="H95" s="392"/>
      <c r="I95" s="392">
        <f t="shared" si="2"/>
        <v>0</v>
      </c>
      <c r="J95" s="1"/>
      <c r="L95" s="1" t="s">
        <v>59</v>
      </c>
    </row>
    <row r="96" spans="1:12" ht="51">
      <c r="A96" s="43">
        <v>78</v>
      </c>
      <c r="B96" s="6"/>
      <c r="C96" s="6"/>
      <c r="D96" s="394" t="s">
        <v>773</v>
      </c>
      <c r="E96" s="12"/>
      <c r="F96" s="43" t="s">
        <v>142</v>
      </c>
      <c r="G96" s="330">
        <v>18</v>
      </c>
      <c r="H96" s="392"/>
      <c r="I96" s="392">
        <f t="shared" si="2"/>
        <v>0</v>
      </c>
      <c r="J96" s="1"/>
      <c r="L96" s="1" t="s">
        <v>59</v>
      </c>
    </row>
    <row r="97" spans="1:12" ht="12.75">
      <c r="A97" s="43">
        <v>79</v>
      </c>
      <c r="B97" s="6"/>
      <c r="C97" s="6"/>
      <c r="D97" s="394" t="s">
        <v>774</v>
      </c>
      <c r="E97" s="12"/>
      <c r="F97" s="43" t="s">
        <v>142</v>
      </c>
      <c r="G97" s="330">
        <v>18</v>
      </c>
      <c r="H97" s="392"/>
      <c r="I97" s="392">
        <f t="shared" si="2"/>
        <v>0</v>
      </c>
      <c r="J97" s="1"/>
      <c r="L97" s="1" t="s">
        <v>59</v>
      </c>
    </row>
    <row r="98" spans="1:12" ht="12.75">
      <c r="A98" s="43">
        <v>80</v>
      </c>
      <c r="B98" s="6"/>
      <c r="C98" s="6"/>
      <c r="D98" s="394" t="s">
        <v>775</v>
      </c>
      <c r="E98" s="12"/>
      <c r="F98" s="43" t="s">
        <v>142</v>
      </c>
      <c r="G98" s="330">
        <v>18</v>
      </c>
      <c r="H98" s="392"/>
      <c r="I98" s="392">
        <f t="shared" si="2"/>
        <v>0</v>
      </c>
      <c r="J98" s="1"/>
      <c r="L98" s="1" t="s">
        <v>59</v>
      </c>
    </row>
    <row r="99" spans="1:12" ht="12.75">
      <c r="A99" s="43">
        <v>81</v>
      </c>
      <c r="B99" s="6"/>
      <c r="C99" s="6"/>
      <c r="D99" s="394" t="s">
        <v>776</v>
      </c>
      <c r="E99" s="12"/>
      <c r="F99" s="43" t="s">
        <v>142</v>
      </c>
      <c r="G99" s="330">
        <v>3</v>
      </c>
      <c r="H99" s="392"/>
      <c r="I99" s="392">
        <f t="shared" si="2"/>
        <v>0</v>
      </c>
      <c r="J99" s="1"/>
      <c r="L99" s="1" t="s">
        <v>59</v>
      </c>
    </row>
    <row r="100" spans="1:12" ht="12.75">
      <c r="A100" s="43">
        <v>82</v>
      </c>
      <c r="B100" s="6"/>
      <c r="C100" s="6"/>
      <c r="D100" s="394" t="s">
        <v>777</v>
      </c>
      <c r="E100" s="12"/>
      <c r="F100" s="43" t="s">
        <v>142</v>
      </c>
      <c r="G100" s="330">
        <v>44</v>
      </c>
      <c r="H100" s="392"/>
      <c r="I100" s="392">
        <f t="shared" si="2"/>
        <v>0</v>
      </c>
      <c r="J100" s="1"/>
      <c r="L100" s="1" t="s">
        <v>59</v>
      </c>
    </row>
    <row r="101" spans="1:12" ht="12.75">
      <c r="A101" s="43">
        <v>83</v>
      </c>
      <c r="B101" s="6"/>
      <c r="C101" s="6"/>
      <c r="D101" s="394" t="s">
        <v>778</v>
      </c>
      <c r="E101" s="12"/>
      <c r="F101" s="43" t="s">
        <v>141</v>
      </c>
      <c r="G101" s="330">
        <v>650</v>
      </c>
      <c r="H101" s="392"/>
      <c r="I101" s="392">
        <f t="shared" si="2"/>
        <v>0</v>
      </c>
      <c r="J101" s="1"/>
      <c r="L101" s="1" t="s">
        <v>59</v>
      </c>
    </row>
    <row r="102" spans="1:12" ht="12.75">
      <c r="A102" s="43">
        <v>84</v>
      </c>
      <c r="B102" s="6"/>
      <c r="C102" s="6"/>
      <c r="D102" s="394" t="s">
        <v>779</v>
      </c>
      <c r="E102" s="12"/>
      <c r="F102" s="43" t="s">
        <v>141</v>
      </c>
      <c r="G102" s="330">
        <v>74</v>
      </c>
      <c r="H102" s="392"/>
      <c r="I102" s="392">
        <f t="shared" si="2"/>
        <v>0</v>
      </c>
      <c r="J102" s="1"/>
      <c r="L102" s="1" t="s">
        <v>59</v>
      </c>
    </row>
    <row r="103" spans="1:12" ht="12.75">
      <c r="A103" s="43">
        <v>85</v>
      </c>
      <c r="B103" s="6"/>
      <c r="C103" s="6"/>
      <c r="D103" s="394" t="s">
        <v>780</v>
      </c>
      <c r="E103" s="12"/>
      <c r="F103" s="43" t="s">
        <v>623</v>
      </c>
      <c r="G103" s="330">
        <v>450</v>
      </c>
      <c r="H103" s="392"/>
      <c r="I103" s="392">
        <f t="shared" si="2"/>
        <v>0</v>
      </c>
      <c r="J103" s="1"/>
      <c r="L103" s="1" t="s">
        <v>59</v>
      </c>
    </row>
    <row r="104" spans="1:12" ht="12.75">
      <c r="A104" s="43">
        <v>86</v>
      </c>
      <c r="B104" s="6"/>
      <c r="C104" s="6"/>
      <c r="D104" s="394" t="s">
        <v>781</v>
      </c>
      <c r="E104" s="12"/>
      <c r="F104" s="43" t="s">
        <v>142</v>
      </c>
      <c r="G104" s="330">
        <v>30</v>
      </c>
      <c r="H104" s="392"/>
      <c r="I104" s="392">
        <f t="shared" si="2"/>
        <v>0</v>
      </c>
      <c r="J104" s="1"/>
      <c r="L104" s="1" t="s">
        <v>59</v>
      </c>
    </row>
    <row r="105" spans="1:12" ht="12.75">
      <c r="A105" s="43">
        <v>87</v>
      </c>
      <c r="B105" s="6"/>
      <c r="C105" s="6"/>
      <c r="D105" s="394" t="s">
        <v>782</v>
      </c>
      <c r="E105" s="12"/>
      <c r="F105" s="43" t="s">
        <v>142</v>
      </c>
      <c r="G105" s="330">
        <v>18</v>
      </c>
      <c r="H105" s="392"/>
      <c r="I105" s="392">
        <f t="shared" si="2"/>
        <v>0</v>
      </c>
      <c r="J105" s="1"/>
      <c r="L105" s="1" t="s">
        <v>59</v>
      </c>
    </row>
    <row r="106" spans="1:12" ht="12.75">
      <c r="A106" s="43">
        <v>88</v>
      </c>
      <c r="B106" s="6"/>
      <c r="C106" s="6"/>
      <c r="D106" s="394" t="s">
        <v>783</v>
      </c>
      <c r="E106" s="12"/>
      <c r="F106" s="43" t="s">
        <v>784</v>
      </c>
      <c r="G106" s="330">
        <v>6</v>
      </c>
      <c r="H106" s="392"/>
      <c r="I106" s="392">
        <f t="shared" si="2"/>
        <v>0</v>
      </c>
      <c r="J106" s="1"/>
      <c r="L106" s="1" t="s">
        <v>59</v>
      </c>
    </row>
    <row r="107" spans="1:12" ht="12.75">
      <c r="A107" s="43">
        <v>89</v>
      </c>
      <c r="B107" s="6"/>
      <c r="C107" s="6"/>
      <c r="D107" s="394" t="s">
        <v>785</v>
      </c>
      <c r="E107" s="12"/>
      <c r="F107" s="43" t="s">
        <v>784</v>
      </c>
      <c r="G107" s="330">
        <v>12</v>
      </c>
      <c r="H107" s="392"/>
      <c r="I107" s="392">
        <f t="shared" si="2"/>
        <v>0</v>
      </c>
      <c r="J107" s="1"/>
      <c r="L107" s="1" t="s">
        <v>59</v>
      </c>
    </row>
    <row r="108" spans="1:12" ht="12.75">
      <c r="A108" s="43">
        <v>90</v>
      </c>
      <c r="B108" s="6"/>
      <c r="C108" s="6"/>
      <c r="D108" s="394" t="s">
        <v>786</v>
      </c>
      <c r="E108" s="12"/>
      <c r="F108" s="43" t="s">
        <v>784</v>
      </c>
      <c r="G108" s="330">
        <v>6</v>
      </c>
      <c r="H108" s="392"/>
      <c r="I108" s="392">
        <f t="shared" si="2"/>
        <v>0</v>
      </c>
      <c r="J108" s="1"/>
      <c r="L108" s="1" t="s">
        <v>59</v>
      </c>
    </row>
    <row r="109" spans="1:12" ht="12.75">
      <c r="A109" s="43">
        <v>91</v>
      </c>
      <c r="B109" s="6"/>
      <c r="C109" s="6"/>
      <c r="D109" s="394" t="s">
        <v>787</v>
      </c>
      <c r="E109" s="12"/>
      <c r="F109" s="43" t="s">
        <v>788</v>
      </c>
      <c r="G109" s="330">
        <v>3</v>
      </c>
      <c r="H109" s="392"/>
      <c r="I109" s="392">
        <f t="shared" si="2"/>
        <v>0</v>
      </c>
      <c r="J109" s="1"/>
      <c r="L109" s="1" t="s">
        <v>59</v>
      </c>
    </row>
    <row r="110" spans="1:12" ht="12.75">
      <c r="A110" s="6"/>
      <c r="B110" s="6"/>
      <c r="C110" s="42"/>
      <c r="D110" s="394"/>
      <c r="E110" s="12"/>
      <c r="F110" s="43"/>
      <c r="G110" s="352" t="s">
        <v>19</v>
      </c>
      <c r="H110" s="76"/>
      <c r="I110" s="63">
        <f>SUM(I90:I109)</f>
        <v>0</v>
      </c>
      <c r="J110" s="76"/>
      <c r="K110" s="63">
        <f>SUM(K91:K91)</f>
        <v>0</v>
      </c>
      <c r="L110" s="77"/>
    </row>
    <row r="111" spans="1:12" ht="12.75">
      <c r="A111" s="6"/>
      <c r="B111" s="6"/>
      <c r="C111" s="391" t="s">
        <v>147</v>
      </c>
      <c r="D111" s="6"/>
      <c r="E111" s="12"/>
      <c r="F111" s="393"/>
      <c r="G111" s="64"/>
      <c r="H111" s="66"/>
      <c r="I111" s="67"/>
      <c r="L111" s="2"/>
    </row>
    <row r="112" spans="1:12" ht="12.75">
      <c r="A112" s="43">
        <v>92</v>
      </c>
      <c r="B112" s="6"/>
      <c r="C112" s="6"/>
      <c r="D112" s="394" t="s">
        <v>789</v>
      </c>
      <c r="E112" s="12"/>
      <c r="F112" s="43" t="s">
        <v>790</v>
      </c>
      <c r="G112" s="330">
        <v>20</v>
      </c>
      <c r="H112" s="392"/>
      <c r="I112" s="392">
        <f aca="true" t="shared" si="3" ref="I112:I117">(G112*H112)</f>
        <v>0</v>
      </c>
      <c r="J112" s="1"/>
      <c r="L112" s="1" t="s">
        <v>59</v>
      </c>
    </row>
    <row r="113" spans="1:12" ht="12.75">
      <c r="A113" s="43">
        <v>93</v>
      </c>
      <c r="B113" s="6"/>
      <c r="C113" s="6"/>
      <c r="D113" s="394" t="s">
        <v>791</v>
      </c>
      <c r="E113" s="12"/>
      <c r="F113" s="43" t="s">
        <v>790</v>
      </c>
      <c r="G113" s="330">
        <v>25</v>
      </c>
      <c r="H113" s="392"/>
      <c r="I113" s="392">
        <f t="shared" si="3"/>
        <v>0</v>
      </c>
      <c r="J113" s="1"/>
      <c r="L113" s="1" t="s">
        <v>59</v>
      </c>
    </row>
    <row r="114" spans="1:12" ht="12.75">
      <c r="A114" s="43">
        <v>94</v>
      </c>
      <c r="B114" s="6"/>
      <c r="C114" s="6"/>
      <c r="D114" s="394" t="s">
        <v>792</v>
      </c>
      <c r="E114" s="12"/>
      <c r="F114" s="43" t="s">
        <v>790</v>
      </c>
      <c r="G114" s="330">
        <v>17</v>
      </c>
      <c r="H114" s="392"/>
      <c r="I114" s="392">
        <f t="shared" si="3"/>
        <v>0</v>
      </c>
      <c r="J114" s="1"/>
      <c r="L114" s="1" t="s">
        <v>59</v>
      </c>
    </row>
    <row r="115" spans="1:12" ht="12.75">
      <c r="A115" s="43">
        <v>95</v>
      </c>
      <c r="B115" s="6"/>
      <c r="C115" s="6"/>
      <c r="D115" s="394" t="s">
        <v>793</v>
      </c>
      <c r="E115" s="12"/>
      <c r="F115" s="43" t="s">
        <v>142</v>
      </c>
      <c r="G115" s="330">
        <v>1</v>
      </c>
      <c r="H115" s="392"/>
      <c r="I115" s="392">
        <f t="shared" si="3"/>
        <v>0</v>
      </c>
      <c r="J115" s="1"/>
      <c r="L115" s="1" t="s">
        <v>59</v>
      </c>
    </row>
    <row r="116" spans="1:12" ht="12.75">
      <c r="A116" s="43">
        <v>96</v>
      </c>
      <c r="B116" s="6"/>
      <c r="C116" s="6"/>
      <c r="D116" s="394" t="s">
        <v>934</v>
      </c>
      <c r="E116" s="12"/>
      <c r="F116" s="43" t="s">
        <v>790</v>
      </c>
      <c r="G116" s="330">
        <v>3</v>
      </c>
      <c r="H116" s="392"/>
      <c r="I116" s="392">
        <f t="shared" si="3"/>
        <v>0</v>
      </c>
      <c r="J116" s="1"/>
      <c r="L116" s="1" t="s">
        <v>59</v>
      </c>
    </row>
    <row r="117" spans="1:12" ht="12.75">
      <c r="A117" s="43">
        <v>97</v>
      </c>
      <c r="B117" s="6"/>
      <c r="C117" s="6"/>
      <c r="D117" s="394" t="s">
        <v>611</v>
      </c>
      <c r="E117" s="12"/>
      <c r="F117" s="43" t="s">
        <v>142</v>
      </c>
      <c r="G117" s="330">
        <v>1</v>
      </c>
      <c r="H117" s="392"/>
      <c r="I117" s="392">
        <f t="shared" si="3"/>
        <v>0</v>
      </c>
      <c r="J117" s="1"/>
      <c r="L117" s="1" t="s">
        <v>59</v>
      </c>
    </row>
    <row r="118" spans="2:12" ht="12.75">
      <c r="B118" s="6"/>
      <c r="C118" s="391" t="s">
        <v>932</v>
      </c>
      <c r="D118" s="6"/>
      <c r="E118" s="12" t="s">
        <v>933</v>
      </c>
      <c r="F118" s="43"/>
      <c r="G118" s="393"/>
      <c r="H118" s="64"/>
      <c r="I118" s="66"/>
      <c r="J118" s="64"/>
      <c r="K118" s="66"/>
      <c r="L118" s="67"/>
    </row>
    <row r="119" spans="1:12" ht="12.75">
      <c r="A119" s="43">
        <v>98</v>
      </c>
      <c r="B119" s="6"/>
      <c r="C119" s="6"/>
      <c r="D119" s="394" t="s">
        <v>613</v>
      </c>
      <c r="E119" s="12" t="s">
        <v>612</v>
      </c>
      <c r="F119" s="43" t="s">
        <v>277</v>
      </c>
      <c r="G119" s="330">
        <v>5.424</v>
      </c>
      <c r="H119" s="392"/>
      <c r="I119" s="392">
        <f aca="true" t="shared" si="4" ref="I119:I124">H119*G119</f>
        <v>0</v>
      </c>
      <c r="J119" s="1"/>
      <c r="L119" s="1" t="s">
        <v>59</v>
      </c>
    </row>
    <row r="120" spans="1:12" ht="12.75">
      <c r="A120" s="43">
        <v>99</v>
      </c>
      <c r="B120" s="6"/>
      <c r="C120" s="6"/>
      <c r="D120" s="394" t="s">
        <v>615</v>
      </c>
      <c r="E120" s="12" t="s">
        <v>614</v>
      </c>
      <c r="F120" s="43" t="s">
        <v>277</v>
      </c>
      <c r="G120" s="330">
        <v>5.424</v>
      </c>
      <c r="H120" s="392"/>
      <c r="I120" s="392">
        <f t="shared" si="4"/>
        <v>0</v>
      </c>
      <c r="J120" s="1"/>
      <c r="L120" s="1" t="s">
        <v>59</v>
      </c>
    </row>
    <row r="121" spans="1:12" ht="12.75">
      <c r="A121" s="43">
        <v>100</v>
      </c>
      <c r="B121" s="6"/>
      <c r="C121" s="6"/>
      <c r="D121" s="394" t="s">
        <v>617</v>
      </c>
      <c r="E121" s="12" t="s">
        <v>616</v>
      </c>
      <c r="F121" s="43" t="s">
        <v>277</v>
      </c>
      <c r="G121" s="330">
        <v>12.5</v>
      </c>
      <c r="H121" s="392"/>
      <c r="I121" s="392">
        <f t="shared" si="4"/>
        <v>0</v>
      </c>
      <c r="J121" s="1"/>
      <c r="L121" s="1" t="s">
        <v>59</v>
      </c>
    </row>
    <row r="122" spans="1:12" ht="12.75">
      <c r="A122" s="43">
        <v>101</v>
      </c>
      <c r="B122" s="6"/>
      <c r="C122" s="6"/>
      <c r="D122" s="394" t="s">
        <v>619</v>
      </c>
      <c r="E122" s="12" t="s">
        <v>618</v>
      </c>
      <c r="F122" s="43" t="s">
        <v>277</v>
      </c>
      <c r="G122" s="330">
        <v>0.25</v>
      </c>
      <c r="H122" s="392"/>
      <c r="I122" s="392">
        <f t="shared" si="4"/>
        <v>0</v>
      </c>
      <c r="J122" s="1"/>
      <c r="L122" s="1" t="s">
        <v>59</v>
      </c>
    </row>
    <row r="123" spans="1:12" ht="12.75">
      <c r="A123" s="43">
        <v>102</v>
      </c>
      <c r="B123" s="6"/>
      <c r="C123" s="6"/>
      <c r="D123" s="394" t="s">
        <v>621</v>
      </c>
      <c r="E123" s="12" t="s">
        <v>620</v>
      </c>
      <c r="F123" s="43" t="s">
        <v>277</v>
      </c>
      <c r="G123" s="330">
        <v>2.1</v>
      </c>
      <c r="H123" s="392"/>
      <c r="I123" s="392">
        <f t="shared" si="4"/>
        <v>0</v>
      </c>
      <c r="J123" s="1"/>
      <c r="L123" s="1" t="s">
        <v>59</v>
      </c>
    </row>
    <row r="124" spans="1:12" ht="12.75">
      <c r="A124" s="43">
        <v>103</v>
      </c>
      <c r="B124" s="6"/>
      <c r="C124" s="6"/>
      <c r="D124" s="394" t="s">
        <v>624</v>
      </c>
      <c r="E124" s="12" t="s">
        <v>622</v>
      </c>
      <c r="F124" s="43" t="s">
        <v>277</v>
      </c>
      <c r="G124" s="330">
        <v>0.35</v>
      </c>
      <c r="H124" s="392"/>
      <c r="I124" s="392">
        <f t="shared" si="4"/>
        <v>0</v>
      </c>
      <c r="J124" s="1"/>
      <c r="L124" s="1" t="s">
        <v>59</v>
      </c>
    </row>
    <row r="125" spans="1:12" ht="12.75">
      <c r="A125" s="6"/>
      <c r="B125" s="6"/>
      <c r="C125" s="42"/>
      <c r="D125" s="394"/>
      <c r="E125" s="12"/>
      <c r="F125" s="43"/>
      <c r="G125" s="352" t="s">
        <v>19</v>
      </c>
      <c r="H125" s="76"/>
      <c r="I125" s="63">
        <f>SUM(I112:I124)</f>
        <v>0</v>
      </c>
      <c r="J125" s="76"/>
      <c r="K125" s="63">
        <f>SUM(K111:K111)</f>
        <v>0</v>
      </c>
      <c r="L125" s="77">
        <f>SUM(L111:L111)</f>
        <v>0</v>
      </c>
    </row>
    <row r="126" spans="1:12" ht="13.5" thickBot="1">
      <c r="A126" s="20"/>
      <c r="B126" s="20"/>
      <c r="C126" s="86"/>
      <c r="D126" s="20"/>
      <c r="E126" s="87"/>
      <c r="F126" s="88"/>
      <c r="G126" s="349"/>
      <c r="H126" s="20"/>
      <c r="I126" s="20"/>
      <c r="J126" s="20"/>
      <c r="K126" s="20"/>
      <c r="L126" s="20"/>
    </row>
    <row r="127" spans="1:12" ht="15.75">
      <c r="A127" s="25" t="s">
        <v>25</v>
      </c>
      <c r="B127" s="25"/>
      <c r="C127" s="89"/>
      <c r="D127" s="25"/>
      <c r="E127" s="90"/>
      <c r="F127" s="91"/>
      <c r="G127" s="402">
        <f>I50+I88+I110+I125</f>
        <v>0</v>
      </c>
      <c r="H127" s="402"/>
      <c r="I127" s="402"/>
      <c r="J127" s="90"/>
      <c r="K127" s="90">
        <f>K50+K88+K110+K125</f>
        <v>0</v>
      </c>
      <c r="L127" s="90"/>
    </row>
    <row r="128" spans="1:12" ht="12.75">
      <c r="A128" s="6"/>
      <c r="B128" s="6"/>
      <c r="C128" s="42"/>
      <c r="D128" s="6"/>
      <c r="E128" s="12"/>
      <c r="F128" s="43"/>
      <c r="G128" s="330"/>
      <c r="H128" s="92" t="s">
        <v>46</v>
      </c>
      <c r="I128" s="93">
        <f>SUM(I13:I127)*0.5</f>
        <v>0</v>
      </c>
      <c r="J128" s="92"/>
      <c r="K128" s="93"/>
      <c r="L128" s="1"/>
    </row>
  </sheetData>
  <sheetProtection/>
  <protectedRanges>
    <protectedRange sqref="F34 F27 F29:F31 C29:D31 C27:D27 C34:D34" name="Oblast1_4_2"/>
    <protectedRange sqref="C62 F82:G82 F62:H62 C82:D82 H52:I61 I62:I87 C89 C111" name="Oblast1"/>
    <protectedRange sqref="H82" name="Oblast1_2"/>
    <protectedRange sqref="I90:I109" name="Oblast1_1"/>
    <protectedRange sqref="D108:F108 H108 F107 D90:H91 D98:G106 F96:G97 D94:G95 H94:H106 D97:E97" name="Oblast1_1_1"/>
    <protectedRange sqref="D109:H109" name="Oblast1_2_1"/>
    <protectedRange sqref="G108" name="Oblast1_3_1"/>
    <protectedRange sqref="G107 D107:E107" name="Oblast1_4_1_1"/>
    <protectedRange sqref="D92:H93" name="Oblast1_6_1"/>
    <protectedRange sqref="D96:E96" name="Oblast1_1_2"/>
    <protectedRange sqref="H115 F112:G114 D115:G116 E117:I117 I112:I117" name="Oblast1_3"/>
    <protectedRange sqref="H112:H114 H116" name="Oblast1_2_2"/>
    <protectedRange sqref="D112:E114" name="Oblast1_1_3"/>
    <protectedRange sqref="H119:I123" name="Oblast2"/>
  </protectedRanges>
  <mergeCells count="3">
    <mergeCell ref="A1:L1"/>
    <mergeCell ref="J7:K7"/>
    <mergeCell ref="G127:I127"/>
  </mergeCells>
  <printOptions horizontalCentered="1"/>
  <pageMargins left="0.5905511811023623" right="0.44" top="0.56" bottom="0.44" header="0.41" footer="0.4"/>
  <pageSetup fitToHeight="0" fitToWidth="1" horizontalDpi="204" verticalDpi="204" orientation="portrait" paperSize="9" scale="60" r:id="rId1"/>
  <headerFooter alignWithMargins="0">
    <oddHeader>&amp;L&amp;9Položky&amp;R&amp;8Strana &amp;P z &amp;N</oddHeader>
  </headerFooter>
  <colBreaks count="2" manualBreakCount="2">
    <brk id="10" max="51" man="1"/>
    <brk id="11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J17" sqref="J17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35" t="s">
        <v>935</v>
      </c>
    </row>
    <row r="5" spans="1:3" ht="12.75">
      <c r="A5" s="3" t="s">
        <v>42</v>
      </c>
      <c r="B5" s="4"/>
      <c r="C5" s="4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97">
        <v>90</v>
      </c>
      <c r="C10" s="2" t="s">
        <v>35</v>
      </c>
      <c r="E10" s="217">
        <f>'P-403'!G67</f>
        <v>0</v>
      </c>
      <c r="F10" s="32"/>
      <c r="G10" s="99"/>
    </row>
    <row r="11" spans="1:7" ht="13.5" thickBot="1">
      <c r="A11" s="100"/>
      <c r="B11" s="100"/>
      <c r="C11" s="100"/>
      <c r="D11" s="100"/>
      <c r="E11" s="101"/>
      <c r="F11" s="102"/>
      <c r="G11" s="103"/>
    </row>
    <row r="12" ht="12.75">
      <c r="G12" s="99"/>
    </row>
    <row r="13" spans="1:7" s="108" customFormat="1" ht="15">
      <c r="A13" s="104" t="s">
        <v>44</v>
      </c>
      <c r="B13" s="104"/>
      <c r="C13" s="104"/>
      <c r="D13" s="104"/>
      <c r="E13" s="105">
        <f>SUM(E10:E11)</f>
        <v>0</v>
      </c>
      <c r="F13" s="106"/>
      <c r="G13" s="107"/>
    </row>
    <row r="14" spans="1:7" s="109" customFormat="1" ht="15">
      <c r="A14" s="2"/>
      <c r="B14" s="2"/>
      <c r="C14" s="2"/>
      <c r="D14" s="2"/>
      <c r="E14" s="2"/>
      <c r="F14" s="2"/>
      <c r="G14" s="99"/>
    </row>
    <row r="15" ht="12.75">
      <c r="G15" s="99"/>
    </row>
    <row r="16" spans="1:7" ht="15.75">
      <c r="A16" s="110" t="s">
        <v>45</v>
      </c>
      <c r="B16" s="110"/>
      <c r="C16" s="110"/>
      <c r="D16" s="110"/>
      <c r="E16" s="111">
        <f>E13</f>
        <v>0</v>
      </c>
      <c r="F16" s="110"/>
      <c r="G16" s="112"/>
    </row>
    <row r="17" spans="1:7" ht="15">
      <c r="A17" s="109"/>
      <c r="B17" s="109"/>
      <c r="C17" s="109"/>
      <c r="D17" s="109"/>
      <c r="E17" s="113"/>
      <c r="F17" s="113"/>
      <c r="G17" s="109"/>
    </row>
    <row r="18" spans="1:7" ht="15.75">
      <c r="A18" s="110" t="s">
        <v>48</v>
      </c>
      <c r="B18" s="407">
        <v>0.21</v>
      </c>
      <c r="C18" s="407"/>
      <c r="D18" s="109"/>
      <c r="E18" s="114">
        <f>ROUND(E16*B18,1)</f>
        <v>0</v>
      </c>
      <c r="F18" s="113"/>
      <c r="G18" s="109"/>
    </row>
    <row r="19" spans="1:7" ht="15">
      <c r="A19" s="109"/>
      <c r="B19" s="109"/>
      <c r="C19" s="109"/>
      <c r="D19" s="109"/>
      <c r="E19" s="113"/>
      <c r="F19" s="113"/>
      <c r="G19" s="109"/>
    </row>
    <row r="20" spans="1:7" ht="15.75">
      <c r="A20" s="110" t="s">
        <v>30</v>
      </c>
      <c r="B20" s="109"/>
      <c r="C20" s="109"/>
      <c r="D20" s="109"/>
      <c r="E20" s="115">
        <f>SUM(E16:E19)</f>
        <v>0</v>
      </c>
      <c r="F20" s="116"/>
      <c r="G20" s="116"/>
    </row>
  </sheetData>
  <sheetProtection/>
  <mergeCells count="2">
    <mergeCell ref="A1:G1"/>
    <mergeCell ref="B18:C18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Zeros="0" view="pageBreakPreview" zoomScaleSheetLayoutView="100" zoomScalePageLayoutView="0" workbookViewId="0" topLeftCell="A1">
      <pane ySplit="8" topLeftCell="A54" activePane="bottomLeft" state="frozen"/>
      <selection pane="topLeft" activeCell="E10" sqref="E10"/>
      <selection pane="bottomLeft" activeCell="J15" sqref="J15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2" bestFit="1" customWidth="1"/>
    <col min="6" max="6" width="6.625" style="33" bestFit="1" customWidth="1"/>
    <col min="7" max="7" width="10.125" style="2" customWidth="1"/>
    <col min="8" max="8" width="10.25390625" style="2" bestFit="1" customWidth="1"/>
    <col min="9" max="9" width="12.625" style="2" customWidth="1"/>
    <col min="10" max="10" width="10.625" style="2" bestFit="1" customWidth="1"/>
    <col min="11" max="11" width="12.75390625" style="2" bestFit="1" customWidth="1"/>
    <col min="12" max="12" width="6.75390625" style="34" customWidth="1"/>
    <col min="13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935</v>
      </c>
      <c r="J4" s="36" t="s">
        <v>54</v>
      </c>
      <c r="K4" s="2" t="s">
        <v>171</v>
      </c>
    </row>
    <row r="5" spans="1:11" ht="12.75">
      <c r="A5" s="3" t="s">
        <v>42</v>
      </c>
      <c r="B5" s="4"/>
      <c r="C5" s="35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8"/>
      <c r="G7" s="33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41"/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/>
      <c r="B9" s="6"/>
      <c r="C9" s="42"/>
      <c r="D9" s="6"/>
      <c r="E9" s="12"/>
      <c r="F9" s="43"/>
      <c r="G9" s="6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36</v>
      </c>
      <c r="D10" s="45"/>
      <c r="E10" s="46"/>
      <c r="F10" s="6"/>
      <c r="G10" s="6"/>
      <c r="H10" s="6"/>
      <c r="I10" s="6"/>
      <c r="J10" s="6"/>
      <c r="K10" s="6"/>
      <c r="L10" s="1"/>
    </row>
    <row r="11" spans="1:12" ht="6" customHeight="1">
      <c r="A11" s="47" t="s">
        <v>37</v>
      </c>
      <c r="B11" s="45"/>
      <c r="C11" s="16"/>
      <c r="D11" s="45"/>
      <c r="E11" s="46"/>
      <c r="F11" s="6"/>
      <c r="G11" s="6"/>
      <c r="H11" s="6"/>
      <c r="I11" s="6"/>
      <c r="J11" s="6"/>
      <c r="K11" s="6"/>
      <c r="L11" s="1"/>
    </row>
    <row r="12" spans="2:12" ht="12.75">
      <c r="B12" s="6"/>
      <c r="C12" s="391" t="s">
        <v>627</v>
      </c>
      <c r="E12" s="12"/>
      <c r="F12" s="43"/>
      <c r="G12" s="330"/>
      <c r="H12" s="12"/>
      <c r="I12" s="12"/>
      <c r="J12" s="49"/>
      <c r="K12" s="68">
        <f>G12*J12</f>
        <v>0</v>
      </c>
      <c r="L12" s="2"/>
    </row>
    <row r="13" spans="1:12" ht="25.5">
      <c r="A13" s="43">
        <v>1</v>
      </c>
      <c r="B13" s="6"/>
      <c r="C13" s="6" t="s">
        <v>628</v>
      </c>
      <c r="D13" s="394" t="s">
        <v>629</v>
      </c>
      <c r="E13" s="12"/>
      <c r="F13" s="43" t="s">
        <v>630</v>
      </c>
      <c r="G13" s="330">
        <v>0.33</v>
      </c>
      <c r="H13" s="392"/>
      <c r="I13" s="392">
        <f aca="true" t="shared" si="0" ref="I13:I23">(G13*H13)</f>
        <v>0</v>
      </c>
      <c r="J13" s="1"/>
      <c r="L13" s="1" t="s">
        <v>59</v>
      </c>
    </row>
    <row r="14" spans="1:12" ht="12.75">
      <c r="A14" s="43">
        <v>2</v>
      </c>
      <c r="B14" s="6"/>
      <c r="C14" s="6" t="s">
        <v>655</v>
      </c>
      <c r="D14" s="394" t="s">
        <v>656</v>
      </c>
      <c r="E14" s="12"/>
      <c r="F14" s="43" t="s">
        <v>229</v>
      </c>
      <c r="G14" s="330">
        <v>1</v>
      </c>
      <c r="H14" s="392"/>
      <c r="I14" s="392">
        <f t="shared" si="0"/>
        <v>0</v>
      </c>
      <c r="J14" s="1"/>
      <c r="L14" s="1" t="s">
        <v>59</v>
      </c>
    </row>
    <row r="15" spans="1:12" ht="12.75">
      <c r="A15" s="43">
        <v>3</v>
      </c>
      <c r="B15" s="6"/>
      <c r="C15" s="6" t="s">
        <v>657</v>
      </c>
      <c r="D15" s="394" t="s">
        <v>658</v>
      </c>
      <c r="E15" s="12"/>
      <c r="F15" s="43" t="s">
        <v>229</v>
      </c>
      <c r="G15" s="330">
        <v>1</v>
      </c>
      <c r="H15" s="392"/>
      <c r="I15" s="392">
        <f t="shared" si="0"/>
        <v>0</v>
      </c>
      <c r="J15" s="1"/>
      <c r="L15" s="1" t="s">
        <v>59</v>
      </c>
    </row>
    <row r="16" spans="1:12" ht="38.25">
      <c r="A16" s="43">
        <v>4</v>
      </c>
      <c r="B16" s="6"/>
      <c r="C16" s="6" t="s">
        <v>659</v>
      </c>
      <c r="D16" s="394" t="s">
        <v>795</v>
      </c>
      <c r="E16" s="12"/>
      <c r="F16" s="43" t="s">
        <v>141</v>
      </c>
      <c r="G16" s="330">
        <v>50</v>
      </c>
      <c r="H16" s="392"/>
      <c r="I16" s="392">
        <f t="shared" si="0"/>
        <v>0</v>
      </c>
      <c r="J16" s="1"/>
      <c r="L16" s="1" t="s">
        <v>59</v>
      </c>
    </row>
    <row r="17" spans="1:12" ht="12.75">
      <c r="A17" s="43">
        <v>5</v>
      </c>
      <c r="B17" s="6"/>
      <c r="C17" s="6" t="s">
        <v>665</v>
      </c>
      <c r="D17" s="394" t="s">
        <v>666</v>
      </c>
      <c r="E17" s="12"/>
      <c r="F17" s="43" t="s">
        <v>141</v>
      </c>
      <c r="G17" s="330">
        <f>G16</f>
        <v>50</v>
      </c>
      <c r="H17" s="392"/>
      <c r="I17" s="392">
        <f t="shared" si="0"/>
        <v>0</v>
      </c>
      <c r="J17" s="1"/>
      <c r="L17" s="1" t="s">
        <v>59</v>
      </c>
    </row>
    <row r="18" spans="1:12" ht="25.5">
      <c r="A18" s="43">
        <v>6</v>
      </c>
      <c r="B18" s="6"/>
      <c r="C18" s="6">
        <v>460260011</v>
      </c>
      <c r="D18" s="394" t="s">
        <v>667</v>
      </c>
      <c r="E18" s="12"/>
      <c r="F18" s="43" t="s">
        <v>450</v>
      </c>
      <c r="G18" s="330">
        <v>10</v>
      </c>
      <c r="H18" s="392"/>
      <c r="I18" s="392">
        <f t="shared" si="0"/>
        <v>0</v>
      </c>
      <c r="J18" s="1"/>
      <c r="L18" s="1" t="s">
        <v>59</v>
      </c>
    </row>
    <row r="19" spans="1:12" ht="25.5">
      <c r="A19" s="43">
        <v>7</v>
      </c>
      <c r="B19" s="6"/>
      <c r="C19" s="6" t="s">
        <v>668</v>
      </c>
      <c r="D19" s="394" t="s">
        <v>669</v>
      </c>
      <c r="E19" s="12"/>
      <c r="F19" s="43" t="s">
        <v>141</v>
      </c>
      <c r="G19" s="330">
        <v>50</v>
      </c>
      <c r="H19" s="392"/>
      <c r="I19" s="392">
        <f t="shared" si="0"/>
        <v>0</v>
      </c>
      <c r="J19" s="1"/>
      <c r="L19" s="1" t="s">
        <v>59</v>
      </c>
    </row>
    <row r="20" spans="1:12" ht="12.75">
      <c r="A20" s="43">
        <v>8</v>
      </c>
      <c r="B20" s="6"/>
      <c r="C20" s="6" t="s">
        <v>674</v>
      </c>
      <c r="D20" s="394" t="s">
        <v>675</v>
      </c>
      <c r="E20" s="12"/>
      <c r="F20" s="43" t="s">
        <v>141</v>
      </c>
      <c r="G20" s="330">
        <v>50</v>
      </c>
      <c r="H20" s="392"/>
      <c r="I20" s="392">
        <f t="shared" si="0"/>
        <v>0</v>
      </c>
      <c r="J20" s="1"/>
      <c r="L20" s="1" t="s">
        <v>59</v>
      </c>
    </row>
    <row r="21" spans="1:12" ht="25.5">
      <c r="A21" s="43">
        <v>9</v>
      </c>
      <c r="B21" s="6"/>
      <c r="C21" s="6" t="s">
        <v>676</v>
      </c>
      <c r="D21" s="394" t="s">
        <v>677</v>
      </c>
      <c r="E21" s="12"/>
      <c r="F21" s="43" t="s">
        <v>141</v>
      </c>
      <c r="G21" s="330">
        <v>300</v>
      </c>
      <c r="H21" s="392"/>
      <c r="I21" s="392">
        <f t="shared" si="0"/>
        <v>0</v>
      </c>
      <c r="J21" s="1"/>
      <c r="L21" s="1" t="s">
        <v>59</v>
      </c>
    </row>
    <row r="22" spans="1:12" ht="12.75">
      <c r="A22" s="43">
        <v>10</v>
      </c>
      <c r="B22" s="6"/>
      <c r="C22" s="6" t="s">
        <v>680</v>
      </c>
      <c r="D22" s="394" t="s">
        <v>681</v>
      </c>
      <c r="E22" s="12"/>
      <c r="F22" s="43" t="s">
        <v>141</v>
      </c>
      <c r="G22" s="330">
        <v>50</v>
      </c>
      <c r="H22" s="392"/>
      <c r="I22" s="392">
        <f t="shared" si="0"/>
        <v>0</v>
      </c>
      <c r="J22" s="1"/>
      <c r="L22" s="1" t="s">
        <v>59</v>
      </c>
    </row>
    <row r="23" spans="1:12" ht="12.75">
      <c r="A23" s="43">
        <v>11</v>
      </c>
      <c r="B23" s="6"/>
      <c r="C23" s="6" t="s">
        <v>692</v>
      </c>
      <c r="D23" s="394" t="s">
        <v>693</v>
      </c>
      <c r="E23" s="12"/>
      <c r="F23" s="43" t="s">
        <v>140</v>
      </c>
      <c r="G23" s="330">
        <v>50</v>
      </c>
      <c r="H23" s="392"/>
      <c r="I23" s="392">
        <f t="shared" si="0"/>
        <v>0</v>
      </c>
      <c r="J23" s="1"/>
      <c r="L23" s="1" t="s">
        <v>59</v>
      </c>
    </row>
    <row r="24" spans="1:12" ht="12.75">
      <c r="A24" s="6"/>
      <c r="B24" s="6"/>
      <c r="C24" s="42"/>
      <c r="D24" s="394"/>
      <c r="E24" s="12"/>
      <c r="F24" s="43"/>
      <c r="G24" s="352" t="s">
        <v>19</v>
      </c>
      <c r="H24" s="76"/>
      <c r="I24" s="63">
        <f>SUM(I13:I23)</f>
        <v>0</v>
      </c>
      <c r="J24" s="76"/>
      <c r="K24" s="63"/>
      <c r="L24" s="77"/>
    </row>
    <row r="25" spans="1:12" ht="12.75">
      <c r="A25" s="6"/>
      <c r="B25" s="6"/>
      <c r="C25" s="391" t="s">
        <v>625</v>
      </c>
      <c r="D25" s="394"/>
      <c r="E25" s="2"/>
      <c r="F25" s="12"/>
      <c r="G25" s="43"/>
      <c r="H25" s="66"/>
      <c r="I25" s="67">
        <f aca="true" t="shared" si="1" ref="I25:I39">(G25*H25)</f>
        <v>0</v>
      </c>
      <c r="L25" s="2"/>
    </row>
    <row r="26" spans="1:12" ht="25.5">
      <c r="A26" s="43"/>
      <c r="B26" s="6"/>
      <c r="C26" s="6" t="s">
        <v>721</v>
      </c>
      <c r="D26" s="394" t="s">
        <v>722</v>
      </c>
      <c r="E26" s="12"/>
      <c r="F26" s="43" t="s">
        <v>141</v>
      </c>
      <c r="G26" s="330">
        <v>20</v>
      </c>
      <c r="H26" s="392"/>
      <c r="I26" s="392">
        <f t="shared" si="1"/>
        <v>0</v>
      </c>
      <c r="J26" s="1"/>
      <c r="L26" s="1" t="s">
        <v>59</v>
      </c>
    </row>
    <row r="27" spans="1:12" ht="25.5">
      <c r="A27" s="43"/>
      <c r="B27" s="6"/>
      <c r="C27" s="6" t="s">
        <v>723</v>
      </c>
      <c r="D27" s="394" t="s">
        <v>724</v>
      </c>
      <c r="E27" s="12"/>
      <c r="F27" s="43" t="s">
        <v>141</v>
      </c>
      <c r="G27" s="330">
        <v>10</v>
      </c>
      <c r="H27" s="392"/>
      <c r="I27" s="392">
        <f t="shared" si="1"/>
        <v>0</v>
      </c>
      <c r="J27" s="1"/>
      <c r="L27" s="1" t="s">
        <v>59</v>
      </c>
    </row>
    <row r="28" spans="1:12" ht="25.5">
      <c r="A28" s="43"/>
      <c r="B28" s="6"/>
      <c r="C28" s="6" t="s">
        <v>725</v>
      </c>
      <c r="D28" s="394" t="s">
        <v>726</v>
      </c>
      <c r="E28" s="12"/>
      <c r="F28" s="43" t="s">
        <v>142</v>
      </c>
      <c r="G28" s="330">
        <v>72</v>
      </c>
      <c r="H28" s="392"/>
      <c r="I28" s="392">
        <f t="shared" si="1"/>
        <v>0</v>
      </c>
      <c r="J28" s="1"/>
      <c r="L28" s="1" t="s">
        <v>59</v>
      </c>
    </row>
    <row r="29" spans="1:12" ht="25.5">
      <c r="A29" s="43"/>
      <c r="B29" s="6"/>
      <c r="C29" s="6" t="s">
        <v>727</v>
      </c>
      <c r="D29" s="394" t="s">
        <v>796</v>
      </c>
      <c r="E29" s="12"/>
      <c r="F29" s="43" t="s">
        <v>142</v>
      </c>
      <c r="G29" s="330">
        <v>18</v>
      </c>
      <c r="H29" s="392"/>
      <c r="I29" s="392">
        <f t="shared" si="1"/>
        <v>0</v>
      </c>
      <c r="J29" s="1"/>
      <c r="L29" s="1" t="s">
        <v>59</v>
      </c>
    </row>
    <row r="30" spans="1:12" ht="25.5">
      <c r="A30" s="43"/>
      <c r="B30" s="6"/>
      <c r="C30" s="6" t="s">
        <v>729</v>
      </c>
      <c r="D30" s="394" t="s">
        <v>797</v>
      </c>
      <c r="E30" s="12"/>
      <c r="F30" s="43" t="s">
        <v>142</v>
      </c>
      <c r="G30" s="330">
        <v>1</v>
      </c>
      <c r="H30" s="392"/>
      <c r="I30" s="392">
        <f t="shared" si="1"/>
        <v>0</v>
      </c>
      <c r="J30" s="1"/>
      <c r="L30" s="1" t="s">
        <v>59</v>
      </c>
    </row>
    <row r="31" spans="1:12" ht="12.75">
      <c r="A31" s="43"/>
      <c r="B31" s="6"/>
      <c r="C31" s="6" t="s">
        <v>798</v>
      </c>
      <c r="D31" s="394" t="s">
        <v>799</v>
      </c>
      <c r="E31" s="12"/>
      <c r="F31" s="43" t="s">
        <v>142</v>
      </c>
      <c r="G31" s="330">
        <v>1</v>
      </c>
      <c r="H31" s="392"/>
      <c r="I31" s="392">
        <f t="shared" si="1"/>
        <v>0</v>
      </c>
      <c r="J31" s="1"/>
      <c r="L31" s="1" t="s">
        <v>59</v>
      </c>
    </row>
    <row r="32" spans="1:12" ht="25.5">
      <c r="A32" s="43"/>
      <c r="B32" s="6"/>
      <c r="C32" s="6" t="s">
        <v>740</v>
      </c>
      <c r="D32" s="394" t="s">
        <v>741</v>
      </c>
      <c r="E32" s="12"/>
      <c r="F32" s="43" t="s">
        <v>141</v>
      </c>
      <c r="G32" s="330">
        <v>10</v>
      </c>
      <c r="H32" s="392"/>
      <c r="I32" s="392">
        <f t="shared" si="1"/>
        <v>0</v>
      </c>
      <c r="J32" s="1"/>
      <c r="L32" s="1" t="s">
        <v>59</v>
      </c>
    </row>
    <row r="33" spans="1:12" ht="25.5">
      <c r="A33" s="43"/>
      <c r="B33" s="6"/>
      <c r="C33" s="6" t="s">
        <v>742</v>
      </c>
      <c r="D33" s="394" t="s">
        <v>743</v>
      </c>
      <c r="E33" s="12"/>
      <c r="F33" s="43" t="s">
        <v>141</v>
      </c>
      <c r="G33" s="330">
        <v>50</v>
      </c>
      <c r="H33" s="392"/>
      <c r="I33" s="392">
        <f t="shared" si="1"/>
        <v>0</v>
      </c>
      <c r="J33" s="1"/>
      <c r="L33" s="1" t="s">
        <v>59</v>
      </c>
    </row>
    <row r="34" spans="1:12" ht="12.75">
      <c r="A34" s="43"/>
      <c r="B34" s="6"/>
      <c r="C34" s="6" t="s">
        <v>744</v>
      </c>
      <c r="D34" s="394" t="s">
        <v>745</v>
      </c>
      <c r="E34" s="12"/>
      <c r="F34" s="43" t="s">
        <v>142</v>
      </c>
      <c r="G34" s="330">
        <v>8</v>
      </c>
      <c r="H34" s="392"/>
      <c r="I34" s="392">
        <f t="shared" si="1"/>
        <v>0</v>
      </c>
      <c r="J34" s="1"/>
      <c r="L34" s="1" t="s">
        <v>59</v>
      </c>
    </row>
    <row r="35" spans="1:12" ht="25.5">
      <c r="A35" s="43"/>
      <c r="B35" s="6"/>
      <c r="C35" s="6" t="s">
        <v>746</v>
      </c>
      <c r="D35" s="394" t="s">
        <v>747</v>
      </c>
      <c r="E35" s="12"/>
      <c r="F35" s="43" t="s">
        <v>142</v>
      </c>
      <c r="G35" s="330">
        <v>8</v>
      </c>
      <c r="H35" s="392"/>
      <c r="I35" s="392">
        <f t="shared" si="1"/>
        <v>0</v>
      </c>
      <c r="J35" s="1"/>
      <c r="L35" s="1" t="s">
        <v>59</v>
      </c>
    </row>
    <row r="36" spans="1:12" ht="25.5">
      <c r="A36" s="43"/>
      <c r="B36" s="6"/>
      <c r="C36" s="6" t="s">
        <v>716</v>
      </c>
      <c r="D36" s="394" t="s">
        <v>717</v>
      </c>
      <c r="E36" s="12"/>
      <c r="F36" s="43" t="s">
        <v>450</v>
      </c>
      <c r="G36" s="330">
        <v>10</v>
      </c>
      <c r="H36" s="392"/>
      <c r="I36" s="392">
        <f t="shared" si="1"/>
        <v>0</v>
      </c>
      <c r="J36" s="1"/>
      <c r="L36" s="1" t="s">
        <v>59</v>
      </c>
    </row>
    <row r="37" spans="1:12" ht="25.5">
      <c r="A37" s="43"/>
      <c r="B37" s="6"/>
      <c r="C37" s="6" t="s">
        <v>750</v>
      </c>
      <c r="D37" s="394" t="s">
        <v>751</v>
      </c>
      <c r="E37" s="12"/>
      <c r="F37" s="43" t="s">
        <v>141</v>
      </c>
      <c r="G37" s="330">
        <v>25</v>
      </c>
      <c r="H37" s="392"/>
      <c r="I37" s="392">
        <f t="shared" si="1"/>
        <v>0</v>
      </c>
      <c r="J37" s="1"/>
      <c r="L37" s="1" t="s">
        <v>59</v>
      </c>
    </row>
    <row r="38" spans="1:12" ht="25.5">
      <c r="A38" s="43"/>
      <c r="B38" s="6"/>
      <c r="C38" s="6" t="s">
        <v>752</v>
      </c>
      <c r="D38" s="394" t="s">
        <v>800</v>
      </c>
      <c r="E38" s="12"/>
      <c r="F38" s="43" t="s">
        <v>141</v>
      </c>
      <c r="G38" s="330">
        <v>330</v>
      </c>
      <c r="H38" s="392"/>
      <c r="I38" s="392">
        <f t="shared" si="1"/>
        <v>0</v>
      </c>
      <c r="J38" s="1"/>
      <c r="L38" s="1" t="s">
        <v>59</v>
      </c>
    </row>
    <row r="39" spans="1:12" ht="25.5">
      <c r="A39" s="43"/>
      <c r="B39" s="6"/>
      <c r="C39" s="6" t="s">
        <v>754</v>
      </c>
      <c r="D39" s="394" t="s">
        <v>755</v>
      </c>
      <c r="E39" s="12"/>
      <c r="F39" s="43" t="s">
        <v>141</v>
      </c>
      <c r="G39" s="330">
        <v>330</v>
      </c>
      <c r="H39" s="392"/>
      <c r="I39" s="392">
        <f t="shared" si="1"/>
        <v>0</v>
      </c>
      <c r="J39" s="1"/>
      <c r="L39" s="1" t="s">
        <v>59</v>
      </c>
    </row>
    <row r="40" spans="1:12" ht="12.75">
      <c r="A40" s="6"/>
      <c r="B40" s="6"/>
      <c r="C40" s="42"/>
      <c r="D40" s="394"/>
      <c r="E40" s="12"/>
      <c r="F40" s="43"/>
      <c r="G40" s="352" t="s">
        <v>19</v>
      </c>
      <c r="H40" s="76"/>
      <c r="I40" s="63">
        <f>SUM(I26:I39)</f>
        <v>0</v>
      </c>
      <c r="J40" s="76"/>
      <c r="K40" s="63">
        <f>SUM(H32:H32)</f>
        <v>0</v>
      </c>
      <c r="L40" s="77"/>
    </row>
    <row r="41" spans="1:12" ht="12.75">
      <c r="A41" s="6"/>
      <c r="B41" s="6"/>
      <c r="C41" s="391" t="s">
        <v>626</v>
      </c>
      <c r="D41" s="6"/>
      <c r="E41" s="12"/>
      <c r="F41" s="393"/>
      <c r="G41" s="64"/>
      <c r="H41" s="66"/>
      <c r="I41" s="67"/>
      <c r="L41" s="2"/>
    </row>
    <row r="42" spans="1:12" ht="12.75">
      <c r="A42" s="43"/>
      <c r="B42" s="6"/>
      <c r="C42" s="6"/>
      <c r="D42" s="394" t="s">
        <v>767</v>
      </c>
      <c r="E42" s="12"/>
      <c r="F42" s="43" t="s">
        <v>141</v>
      </c>
      <c r="G42" s="330">
        <v>25</v>
      </c>
      <c r="H42" s="392"/>
      <c r="I42" s="392">
        <f aca="true" t="shared" si="2" ref="I42:I53">(G42*H42)</f>
        <v>0</v>
      </c>
      <c r="J42" s="1"/>
      <c r="L42" s="1" t="s">
        <v>59</v>
      </c>
    </row>
    <row r="43" spans="1:12" ht="12.75">
      <c r="A43" s="43"/>
      <c r="B43" s="6"/>
      <c r="C43" s="6"/>
      <c r="D43" s="394" t="s">
        <v>801</v>
      </c>
      <c r="E43" s="12"/>
      <c r="F43" s="43" t="s">
        <v>141</v>
      </c>
      <c r="G43" s="330">
        <v>330</v>
      </c>
      <c r="H43" s="392"/>
      <c r="I43" s="392">
        <f t="shared" si="2"/>
        <v>0</v>
      </c>
      <c r="J43" s="1"/>
      <c r="L43" s="1" t="s">
        <v>59</v>
      </c>
    </row>
    <row r="44" spans="1:12" ht="12.75">
      <c r="A44" s="43"/>
      <c r="B44" s="6"/>
      <c r="C44" s="6"/>
      <c r="D44" s="394" t="s">
        <v>769</v>
      </c>
      <c r="E44" s="12"/>
      <c r="F44" s="43" t="s">
        <v>141</v>
      </c>
      <c r="G44" s="330">
        <v>20</v>
      </c>
      <c r="H44" s="392"/>
      <c r="I44" s="392">
        <f t="shared" si="2"/>
        <v>0</v>
      </c>
      <c r="J44" s="1"/>
      <c r="L44" s="1" t="s">
        <v>59</v>
      </c>
    </row>
    <row r="45" spans="1:12" ht="25.5">
      <c r="A45" s="43"/>
      <c r="B45" s="6"/>
      <c r="C45" s="6"/>
      <c r="D45" s="394" t="s">
        <v>770</v>
      </c>
      <c r="E45" s="12"/>
      <c r="F45" s="43" t="s">
        <v>141</v>
      </c>
      <c r="G45" s="330">
        <v>10</v>
      </c>
      <c r="H45" s="392"/>
      <c r="I45" s="392">
        <f t="shared" si="2"/>
        <v>0</v>
      </c>
      <c r="J45" s="1"/>
      <c r="L45" s="1" t="s">
        <v>59</v>
      </c>
    </row>
    <row r="46" spans="1:12" ht="12.75">
      <c r="A46" s="43"/>
      <c r="B46" s="6"/>
      <c r="C46" s="6"/>
      <c r="D46" s="394" t="s">
        <v>802</v>
      </c>
      <c r="E46" s="12"/>
      <c r="F46" s="43" t="s">
        <v>142</v>
      </c>
      <c r="G46" s="330">
        <v>1</v>
      </c>
      <c r="H46" s="392"/>
      <c r="I46" s="392">
        <f t="shared" si="2"/>
        <v>0</v>
      </c>
      <c r="J46" s="1"/>
      <c r="L46" s="1" t="s">
        <v>59</v>
      </c>
    </row>
    <row r="47" spans="1:12" ht="12.75">
      <c r="A47" s="43"/>
      <c r="B47" s="6"/>
      <c r="C47" s="6"/>
      <c r="D47" s="394" t="s">
        <v>772</v>
      </c>
      <c r="E47" s="12"/>
      <c r="F47" s="43" t="s">
        <v>142</v>
      </c>
      <c r="G47" s="330">
        <v>1</v>
      </c>
      <c r="H47" s="392"/>
      <c r="I47" s="392">
        <f t="shared" si="2"/>
        <v>0</v>
      </c>
      <c r="J47" s="1"/>
      <c r="L47" s="1" t="s">
        <v>59</v>
      </c>
    </row>
    <row r="48" spans="1:12" ht="12.75">
      <c r="A48" s="43"/>
      <c r="B48" s="6"/>
      <c r="C48" s="6"/>
      <c r="D48" s="394" t="s">
        <v>776</v>
      </c>
      <c r="E48" s="12"/>
      <c r="F48" s="43" t="s">
        <v>142</v>
      </c>
      <c r="G48" s="330">
        <v>1</v>
      </c>
      <c r="H48" s="392"/>
      <c r="I48" s="392">
        <f t="shared" si="2"/>
        <v>0</v>
      </c>
      <c r="J48" s="1"/>
      <c r="L48" s="1" t="s">
        <v>59</v>
      </c>
    </row>
    <row r="49" spans="1:12" ht="12.75">
      <c r="A49" s="43"/>
      <c r="B49" s="6"/>
      <c r="C49" s="6"/>
      <c r="D49" s="394" t="s">
        <v>777</v>
      </c>
      <c r="E49" s="12"/>
      <c r="F49" s="43" t="s">
        <v>142</v>
      </c>
      <c r="G49" s="330">
        <v>18</v>
      </c>
      <c r="H49" s="392"/>
      <c r="I49" s="392">
        <f t="shared" si="2"/>
        <v>0</v>
      </c>
      <c r="J49" s="1"/>
      <c r="L49" s="1" t="s">
        <v>59</v>
      </c>
    </row>
    <row r="50" spans="1:12" ht="12.75">
      <c r="A50" s="43"/>
      <c r="B50" s="6"/>
      <c r="C50" s="6"/>
      <c r="D50" s="394" t="s">
        <v>778</v>
      </c>
      <c r="E50" s="12"/>
      <c r="F50" s="43" t="s">
        <v>141</v>
      </c>
      <c r="G50" s="330">
        <v>300</v>
      </c>
      <c r="H50" s="392"/>
      <c r="I50" s="392">
        <f t="shared" si="2"/>
        <v>0</v>
      </c>
      <c r="J50" s="1"/>
      <c r="L50" s="1" t="s">
        <v>59</v>
      </c>
    </row>
    <row r="51" spans="1:12" ht="12.75">
      <c r="A51" s="43"/>
      <c r="B51" s="6"/>
      <c r="C51" s="6"/>
      <c r="D51" s="394" t="s">
        <v>780</v>
      </c>
      <c r="E51" s="12"/>
      <c r="F51" s="43" t="s">
        <v>623</v>
      </c>
      <c r="G51" s="330">
        <v>32</v>
      </c>
      <c r="H51" s="392"/>
      <c r="I51" s="392">
        <f t="shared" si="2"/>
        <v>0</v>
      </c>
      <c r="J51" s="1"/>
      <c r="L51" s="1" t="s">
        <v>59</v>
      </c>
    </row>
    <row r="52" spans="1:12" ht="12.75">
      <c r="A52" s="43"/>
      <c r="B52" s="6"/>
      <c r="C52" s="6"/>
      <c r="D52" s="394" t="s">
        <v>781</v>
      </c>
      <c r="E52" s="12"/>
      <c r="F52" s="43" t="s">
        <v>142</v>
      </c>
      <c r="G52" s="330">
        <v>8</v>
      </c>
      <c r="H52" s="392"/>
      <c r="I52" s="392">
        <f t="shared" si="2"/>
        <v>0</v>
      </c>
      <c r="J52" s="1"/>
      <c r="L52" s="1" t="s">
        <v>59</v>
      </c>
    </row>
    <row r="53" spans="1:12" ht="12.75">
      <c r="A53" s="43"/>
      <c r="B53" s="6"/>
      <c r="C53" s="6"/>
      <c r="D53" s="394" t="s">
        <v>782</v>
      </c>
      <c r="E53" s="12"/>
      <c r="F53" s="43" t="s">
        <v>142</v>
      </c>
      <c r="G53" s="330">
        <v>8</v>
      </c>
      <c r="H53" s="392"/>
      <c r="I53" s="392">
        <f t="shared" si="2"/>
        <v>0</v>
      </c>
      <c r="J53" s="1"/>
      <c r="L53" s="1" t="s">
        <v>59</v>
      </c>
    </row>
    <row r="54" spans="1:12" ht="12.75">
      <c r="A54" s="6"/>
      <c r="B54" s="6"/>
      <c r="C54" s="42"/>
      <c r="D54" s="394"/>
      <c r="E54" s="12"/>
      <c r="F54" s="43"/>
      <c r="G54" s="352" t="s">
        <v>19</v>
      </c>
      <c r="H54" s="76"/>
      <c r="I54" s="63">
        <f>SUM(I42:I53)</f>
        <v>0</v>
      </c>
      <c r="J54" s="76"/>
      <c r="K54" s="63"/>
      <c r="L54" s="77"/>
    </row>
    <row r="55" spans="1:12" ht="12.75">
      <c r="A55" s="6"/>
      <c r="B55" s="6"/>
      <c r="C55" s="391" t="s">
        <v>147</v>
      </c>
      <c r="D55" s="6"/>
      <c r="E55" s="12"/>
      <c r="F55" s="393"/>
      <c r="G55" s="64"/>
      <c r="H55" s="66"/>
      <c r="I55" s="67"/>
      <c r="L55" s="2"/>
    </row>
    <row r="56" spans="1:12" ht="12.75">
      <c r="A56" s="43"/>
      <c r="B56" s="6"/>
      <c r="C56" s="6"/>
      <c r="D56" s="394" t="s">
        <v>803</v>
      </c>
      <c r="E56" s="12"/>
      <c r="F56" s="43" t="s">
        <v>790</v>
      </c>
      <c r="G56" s="330">
        <v>4</v>
      </c>
      <c r="H56" s="392"/>
      <c r="I56" s="392">
        <f aca="true" t="shared" si="3" ref="I56:I61">(G56*H56)</f>
        <v>0</v>
      </c>
      <c r="J56" s="1"/>
      <c r="L56" s="1" t="s">
        <v>59</v>
      </c>
    </row>
    <row r="57" spans="1:12" ht="12.75">
      <c r="A57" s="43"/>
      <c r="B57" s="6"/>
      <c r="C57" s="6"/>
      <c r="D57" s="394" t="s">
        <v>804</v>
      </c>
      <c r="E57" s="12"/>
      <c r="F57" s="43" t="s">
        <v>142</v>
      </c>
      <c r="G57" s="330">
        <v>1</v>
      </c>
      <c r="H57" s="392"/>
      <c r="I57" s="392">
        <f t="shared" si="3"/>
        <v>0</v>
      </c>
      <c r="J57" s="1"/>
      <c r="L57" s="1" t="s">
        <v>59</v>
      </c>
    </row>
    <row r="58" spans="1:12" ht="12.75">
      <c r="A58" s="43"/>
      <c r="B58" s="6"/>
      <c r="C58" s="6"/>
      <c r="D58" s="394" t="s">
        <v>805</v>
      </c>
      <c r="E58" s="12"/>
      <c r="F58" s="43" t="s">
        <v>142</v>
      </c>
      <c r="G58" s="330">
        <v>1</v>
      </c>
      <c r="H58" s="392"/>
      <c r="I58" s="392">
        <f t="shared" si="3"/>
        <v>0</v>
      </c>
      <c r="J58" s="1"/>
      <c r="L58" s="1" t="s">
        <v>59</v>
      </c>
    </row>
    <row r="59" spans="1:12" ht="25.5">
      <c r="A59" s="43"/>
      <c r="B59" s="6"/>
      <c r="C59" s="6"/>
      <c r="D59" s="394" t="s">
        <v>806</v>
      </c>
      <c r="E59" s="12"/>
      <c r="F59" s="43" t="s">
        <v>142</v>
      </c>
      <c r="G59" s="330">
        <v>1</v>
      </c>
      <c r="H59" s="392"/>
      <c r="I59" s="392">
        <f t="shared" si="3"/>
        <v>0</v>
      </c>
      <c r="J59" s="1"/>
      <c r="L59" s="1" t="s">
        <v>59</v>
      </c>
    </row>
    <row r="60" spans="1:12" ht="12.75">
      <c r="A60" s="43"/>
      <c r="B60" s="6"/>
      <c r="C60" s="6"/>
      <c r="D60" s="394" t="s">
        <v>794</v>
      </c>
      <c r="E60" s="12"/>
      <c r="F60" s="43" t="s">
        <v>790</v>
      </c>
      <c r="G60" s="330">
        <v>2</v>
      </c>
      <c r="H60" s="392"/>
      <c r="I60" s="392">
        <f t="shared" si="3"/>
        <v>0</v>
      </c>
      <c r="J60" s="1"/>
      <c r="L60" s="1" t="s">
        <v>59</v>
      </c>
    </row>
    <row r="61" spans="1:12" ht="12.75">
      <c r="A61" s="43"/>
      <c r="B61" s="6"/>
      <c r="C61" s="6"/>
      <c r="D61" s="394" t="s">
        <v>611</v>
      </c>
      <c r="E61" s="12"/>
      <c r="F61" s="43" t="s">
        <v>142</v>
      </c>
      <c r="G61" s="330">
        <v>1</v>
      </c>
      <c r="H61" s="392"/>
      <c r="I61" s="392">
        <f t="shared" si="3"/>
        <v>0</v>
      </c>
      <c r="J61" s="1"/>
      <c r="L61" s="1" t="s">
        <v>59</v>
      </c>
    </row>
    <row r="62" spans="1:12" ht="12.75">
      <c r="A62" s="6"/>
      <c r="B62" s="6"/>
      <c r="C62" s="391" t="s">
        <v>932</v>
      </c>
      <c r="D62" s="6"/>
      <c r="E62" s="12" t="s">
        <v>933</v>
      </c>
      <c r="F62" s="43"/>
      <c r="G62" s="393"/>
      <c r="H62" s="64"/>
      <c r="I62" s="66"/>
      <c r="J62" s="64"/>
      <c r="K62" s="66"/>
      <c r="L62" s="67"/>
    </row>
    <row r="63" spans="1:12" ht="12.75">
      <c r="A63" s="43"/>
      <c r="B63" s="6"/>
      <c r="C63" s="6"/>
      <c r="D63" s="394" t="s">
        <v>613</v>
      </c>
      <c r="E63" s="12" t="s">
        <v>612</v>
      </c>
      <c r="F63" s="43" t="s">
        <v>277</v>
      </c>
      <c r="G63" s="330">
        <v>1.808</v>
      </c>
      <c r="H63" s="392"/>
      <c r="I63" s="392">
        <f>H63*G63</f>
        <v>0</v>
      </c>
      <c r="J63" s="1"/>
      <c r="L63" s="1" t="s">
        <v>59</v>
      </c>
    </row>
    <row r="64" spans="1:12" ht="12.75">
      <c r="A64" s="43"/>
      <c r="B64" s="6"/>
      <c r="C64" s="6"/>
      <c r="D64" s="394" t="s">
        <v>615</v>
      </c>
      <c r="E64" s="12" t="s">
        <v>614</v>
      </c>
      <c r="F64" s="43" t="s">
        <v>277</v>
      </c>
      <c r="G64" s="330">
        <v>1.808</v>
      </c>
      <c r="H64" s="392"/>
      <c r="I64" s="392">
        <f>H64*G64</f>
        <v>0</v>
      </c>
      <c r="J64" s="1"/>
      <c r="L64" s="1" t="s">
        <v>59</v>
      </c>
    </row>
    <row r="65" spans="1:12" ht="12.75">
      <c r="A65" s="6"/>
      <c r="B65" s="6"/>
      <c r="C65" s="42"/>
      <c r="D65" s="394"/>
      <c r="E65" s="12"/>
      <c r="F65" s="43"/>
      <c r="G65" s="352" t="s">
        <v>19</v>
      </c>
      <c r="H65" s="76"/>
      <c r="I65" s="63">
        <f>SUM(I56:I64)</f>
        <v>0</v>
      </c>
      <c r="J65" s="76"/>
      <c r="K65" s="63">
        <f>SUM(K55:K55)</f>
        <v>0</v>
      </c>
      <c r="L65" s="77">
        <f>SUM(L55:L55)</f>
        <v>0</v>
      </c>
    </row>
    <row r="66" spans="1:12" ht="13.5" thickBot="1">
      <c r="A66" s="20"/>
      <c r="B66" s="20"/>
      <c r="C66" s="86"/>
      <c r="D66" s="20"/>
      <c r="E66" s="87"/>
      <c r="F66" s="88"/>
      <c r="G66" s="349"/>
      <c r="H66" s="20"/>
      <c r="I66" s="20"/>
      <c r="J66" s="20"/>
      <c r="K66" s="20"/>
      <c r="L66" s="20"/>
    </row>
    <row r="67" spans="1:12" ht="15.75">
      <c r="A67" s="25" t="s">
        <v>25</v>
      </c>
      <c r="B67" s="25"/>
      <c r="C67" s="89"/>
      <c r="D67" s="25"/>
      <c r="E67" s="90"/>
      <c r="F67" s="91"/>
      <c r="G67" s="402">
        <f>I24+I40+I54+I65</f>
        <v>0</v>
      </c>
      <c r="H67" s="402"/>
      <c r="I67" s="402"/>
      <c r="J67" s="90"/>
      <c r="K67" s="90">
        <f>K24</f>
        <v>0</v>
      </c>
      <c r="L67" s="90"/>
    </row>
    <row r="68" spans="1:12" ht="12.75">
      <c r="A68" s="6"/>
      <c r="B68" s="6"/>
      <c r="C68" s="42"/>
      <c r="D68" s="6"/>
      <c r="E68" s="12"/>
      <c r="F68" s="43"/>
      <c r="G68" s="330"/>
      <c r="H68" s="92" t="s">
        <v>46</v>
      </c>
      <c r="I68" s="93">
        <f>SUM(I24:I67)*0.5</f>
        <v>0</v>
      </c>
      <c r="J68" s="92"/>
      <c r="K68" s="93"/>
      <c r="L68" s="1"/>
    </row>
  </sheetData>
  <sheetProtection/>
  <protectedRanges>
    <protectedRange sqref="C25 C41 C55 F25:I25" name="Oblast1"/>
    <protectedRange sqref="E61:I61 F57:G59" name="Oblast1_3"/>
    <protectedRange sqref="H63:I64" name="Oblast2"/>
    <protectedRange sqref="C17:F17 C15:F15" name="Oblast1_4"/>
    <protectedRange sqref="I26:I39" name="Oblast1_5"/>
    <protectedRange sqref="I42:I53" name="Oblast1_6"/>
    <protectedRange sqref="H42:H43 D42:G43 D46:G53 H46:H53" name="Oblast1_1_1_1"/>
    <protectedRange sqref="D44:G45 H44:H45" name="Oblast1_6_1_1"/>
    <protectedRange sqref="D60:G60 H57:H59 F56:G56 D57:E59 I56:I60" name="Oblast1_7"/>
    <protectedRange sqref="H56 H60" name="Oblast1_2_3"/>
    <protectedRange sqref="D56:E56" name="Oblast1_1_4"/>
  </protectedRanges>
  <mergeCells count="3">
    <mergeCell ref="A1:L1"/>
    <mergeCell ref="J7:K7"/>
    <mergeCell ref="G67:I67"/>
  </mergeCells>
  <printOptions horizontalCentered="1"/>
  <pageMargins left="0.5905511811023623" right="0.44" top="0.56" bottom="0.44" header="0.41" footer="0.4"/>
  <pageSetup fitToHeight="0" fitToWidth="1" horizontalDpi="204" verticalDpi="204" orientation="portrait" paperSize="9" scale="60" r:id="rId1"/>
  <headerFooter alignWithMargins="0">
    <oddHeader>&amp;L&amp;9Položky&amp;R&amp;8Strana &amp;P z &amp;N</oddHeader>
  </headerFooter>
  <colBreaks count="2" manualBreakCount="2">
    <brk id="10" max="51" man="1"/>
    <brk id="11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J36" sqref="J36"/>
      <selection pane="bottomLeft" activeCell="C5" sqref="C5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4" t="s">
        <v>837</v>
      </c>
    </row>
    <row r="5" spans="1:3" ht="12.75">
      <c r="A5" s="3" t="s">
        <v>42</v>
      </c>
      <c r="B5" s="4"/>
      <c r="C5" s="139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361" t="s">
        <v>866</v>
      </c>
      <c r="C10" s="2" t="s">
        <v>865</v>
      </c>
      <c r="E10" s="217">
        <f>'P-801'!I38</f>
        <v>0</v>
      </c>
      <c r="F10" s="32"/>
      <c r="G10" s="99">
        <f>'P-801'!K38</f>
        <v>0.0147924672</v>
      </c>
    </row>
    <row r="11" spans="1:7" ht="12.75">
      <c r="A11" s="361"/>
      <c r="E11" s="217"/>
      <c r="F11" s="32"/>
      <c r="G11" s="99"/>
    </row>
    <row r="12" spans="1:7" ht="12.75">
      <c r="A12" s="361" t="s">
        <v>867</v>
      </c>
      <c r="C12" s="2" t="s">
        <v>868</v>
      </c>
      <c r="E12" s="217">
        <f>'P-801'!I76</f>
        <v>0</v>
      </c>
      <c r="F12" s="32"/>
      <c r="G12" s="99">
        <f>'P-801'!K76</f>
        <v>2.8518817536000003</v>
      </c>
    </row>
    <row r="13" spans="1:7" ht="12.75">
      <c r="A13" s="361"/>
      <c r="E13" s="217"/>
      <c r="F13" s="32"/>
      <c r="G13" s="99"/>
    </row>
    <row r="14" spans="1:7" ht="12.75">
      <c r="A14" s="361" t="s">
        <v>920</v>
      </c>
      <c r="C14" s="2" t="s">
        <v>921</v>
      </c>
      <c r="E14" s="217">
        <f>'P-801'!I104</f>
        <v>0</v>
      </c>
      <c r="F14" s="32"/>
      <c r="G14" s="99"/>
    </row>
    <row r="15" spans="1:7" ht="13.5" thickBot="1">
      <c r="A15" s="100"/>
      <c r="B15" s="100"/>
      <c r="C15" s="100"/>
      <c r="D15" s="100"/>
      <c r="E15" s="101"/>
      <c r="F15" s="102"/>
      <c r="G15" s="103"/>
    </row>
    <row r="16" ht="12.75">
      <c r="G16" s="99"/>
    </row>
    <row r="17" spans="1:7" s="108" customFormat="1" ht="15">
      <c r="A17" s="104" t="s">
        <v>44</v>
      </c>
      <c r="B17" s="104"/>
      <c r="C17" s="104"/>
      <c r="D17" s="104"/>
      <c r="E17" s="105">
        <f>SUM(E10:E15)</f>
        <v>0</v>
      </c>
      <c r="F17" s="106"/>
      <c r="G17" s="107">
        <f>SUM(G10:G15)</f>
        <v>2.8666742208000002</v>
      </c>
    </row>
    <row r="18" spans="1:7" s="109" customFormat="1" ht="15">
      <c r="A18" s="2"/>
      <c r="B18" s="2"/>
      <c r="C18" s="2"/>
      <c r="D18" s="2"/>
      <c r="E18" s="2"/>
      <c r="F18" s="2"/>
      <c r="G18" s="99"/>
    </row>
    <row r="19" ht="12.75">
      <c r="G19" s="99"/>
    </row>
    <row r="20" spans="1:7" ht="15.75">
      <c r="A20" s="110" t="s">
        <v>45</v>
      </c>
      <c r="B20" s="110"/>
      <c r="C20" s="110"/>
      <c r="D20" s="110"/>
      <c r="E20" s="111">
        <f>E17</f>
        <v>0</v>
      </c>
      <c r="F20" s="110"/>
      <c r="G20" s="112"/>
    </row>
    <row r="21" spans="1:7" ht="15">
      <c r="A21" s="109"/>
      <c r="B21" s="109"/>
      <c r="C21" s="109"/>
      <c r="D21" s="109"/>
      <c r="E21" s="113"/>
      <c r="F21" s="113"/>
      <c r="G21" s="109"/>
    </row>
    <row r="22" spans="1:7" ht="15.75">
      <c r="A22" s="110" t="s">
        <v>48</v>
      </c>
      <c r="B22" s="407">
        <v>0.21</v>
      </c>
      <c r="C22" s="407"/>
      <c r="D22" s="109"/>
      <c r="E22" s="114">
        <f>ROUND(E20*B22,1)</f>
        <v>0</v>
      </c>
      <c r="F22" s="113"/>
      <c r="G22" s="109"/>
    </row>
    <row r="23" spans="1:7" ht="15">
      <c r="A23" s="109"/>
      <c r="B23" s="109"/>
      <c r="C23" s="109"/>
      <c r="D23" s="109"/>
      <c r="E23" s="113"/>
      <c r="F23" s="113"/>
      <c r="G23" s="109"/>
    </row>
    <row r="24" spans="1:7" ht="15.75">
      <c r="A24" s="110" t="s">
        <v>30</v>
      </c>
      <c r="B24" s="109"/>
      <c r="C24" s="109"/>
      <c r="D24" s="109"/>
      <c r="E24" s="115">
        <f>SUM(E20:E23)</f>
        <v>0</v>
      </c>
      <c r="F24" s="116"/>
      <c r="G24" s="116"/>
    </row>
    <row r="25" spans="3:5" ht="15">
      <c r="C25" s="218"/>
      <c r="E25" s="374">
        <f>'P-801'!I107</f>
        <v>0</v>
      </c>
    </row>
  </sheetData>
  <sheetProtection/>
  <mergeCells count="2">
    <mergeCell ref="A1:G1"/>
    <mergeCell ref="B22:C22"/>
  </mergeCells>
  <conditionalFormatting sqref="E25">
    <cfRule type="cellIs" priority="1" dxfId="2" operator="notEqual" stopIfTrue="1">
      <formula>$E$25</formula>
    </cfRule>
  </conditionalFormatting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Zeros="0" view="pageBreakPreview" zoomScaleSheetLayoutView="100" zoomScalePageLayoutView="0" workbookViewId="0" topLeftCell="A1">
      <pane ySplit="8" topLeftCell="A96" activePane="bottomLeft" state="frozen"/>
      <selection pane="topLeft" activeCell="J36" sqref="J36"/>
      <selection pane="bottomLeft" activeCell="G110" sqref="G110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40" bestFit="1" customWidth="1"/>
    <col min="6" max="6" width="6.625" style="33" bestFit="1" customWidth="1"/>
    <col min="7" max="7" width="10.125" style="340" customWidth="1"/>
    <col min="8" max="8" width="10.25390625" style="2" bestFit="1" customWidth="1"/>
    <col min="9" max="9" width="12.625" style="2" customWidth="1"/>
    <col min="10" max="10" width="9.25390625" style="2" bestFit="1" customWidth="1"/>
    <col min="11" max="11" width="11.625" style="2" customWidth="1"/>
    <col min="12" max="12" width="6.75390625" style="34" customWidth="1"/>
    <col min="13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837</v>
      </c>
      <c r="J4" s="36" t="s">
        <v>54</v>
      </c>
      <c r="K4" s="2" t="s">
        <v>838</v>
      </c>
    </row>
    <row r="5" spans="1:11" ht="12.75">
      <c r="A5" s="3" t="s">
        <v>42</v>
      </c>
      <c r="B5" s="4"/>
      <c r="C5" s="139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41"/>
      <c r="G7" s="341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342"/>
      <c r="F8" s="39" t="s">
        <v>5</v>
      </c>
      <c r="G8" s="342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/>
      <c r="B9" s="6"/>
      <c r="C9" s="42"/>
      <c r="D9" s="6"/>
      <c r="E9" s="330"/>
      <c r="F9" s="43"/>
      <c r="G9" s="330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869</v>
      </c>
      <c r="D10" s="45"/>
      <c r="E10" s="343"/>
      <c r="F10" s="6"/>
      <c r="G10" s="330"/>
      <c r="H10" s="6"/>
      <c r="I10" s="6"/>
      <c r="J10" s="6"/>
      <c r="K10" s="6"/>
      <c r="L10" s="1"/>
    </row>
    <row r="11" spans="1:12" ht="6" customHeight="1">
      <c r="A11" s="47" t="s">
        <v>864</v>
      </c>
      <c r="B11" s="45"/>
      <c r="C11" s="16"/>
      <c r="D11" s="45"/>
      <c r="E11" s="343"/>
      <c r="F11" s="6"/>
      <c r="G11" s="330"/>
      <c r="H11" s="6"/>
      <c r="I11" s="6"/>
      <c r="J11" s="6"/>
      <c r="K11" s="6"/>
      <c r="L11" s="1"/>
    </row>
    <row r="12" spans="1:12" ht="12.75">
      <c r="A12" s="43">
        <v>1</v>
      </c>
      <c r="B12" s="6" t="s">
        <v>839</v>
      </c>
      <c r="C12" s="42">
        <v>183101322</v>
      </c>
      <c r="D12" s="6" t="s">
        <v>840</v>
      </c>
      <c r="E12" s="329"/>
      <c r="F12" s="43" t="s">
        <v>23</v>
      </c>
      <c r="G12" s="330">
        <f>SUM(E13:E13)</f>
        <v>21</v>
      </c>
      <c r="H12" s="12"/>
      <c r="I12" s="12">
        <f>G12*H12</f>
        <v>0</v>
      </c>
      <c r="J12" s="6"/>
      <c r="K12" s="49">
        <f>G12*J12</f>
        <v>0</v>
      </c>
      <c r="L12" s="1" t="s">
        <v>59</v>
      </c>
    </row>
    <row r="13" spans="1:12" ht="12.75">
      <c r="A13" s="43"/>
      <c r="B13" s="6"/>
      <c r="C13" s="42"/>
      <c r="D13" s="51" t="s">
        <v>848</v>
      </c>
      <c r="E13" s="329">
        <v>21</v>
      </c>
      <c r="F13" s="43"/>
      <c r="G13" s="330"/>
      <c r="H13" s="6"/>
      <c r="I13" s="12">
        <f aca="true" t="shared" si="0" ref="I13:I37">G13*H13</f>
        <v>0</v>
      </c>
      <c r="J13" s="6"/>
      <c r="K13" s="49">
        <f aca="true" t="shared" si="1" ref="K13:K36">G13*J13</f>
        <v>0</v>
      </c>
      <c r="L13" s="1"/>
    </row>
    <row r="14" spans="1:12" ht="12.75">
      <c r="A14" s="43">
        <v>2</v>
      </c>
      <c r="B14" s="6" t="s">
        <v>839</v>
      </c>
      <c r="C14" s="42">
        <v>184102118</v>
      </c>
      <c r="D14" s="6" t="s">
        <v>841</v>
      </c>
      <c r="E14" s="329"/>
      <c r="F14" s="43" t="s">
        <v>23</v>
      </c>
      <c r="G14" s="330">
        <v>21</v>
      </c>
      <c r="H14" s="12"/>
      <c r="I14" s="12">
        <f>G14*H14</f>
        <v>0</v>
      </c>
      <c r="J14" s="6"/>
      <c r="K14" s="49">
        <f t="shared" si="1"/>
        <v>0</v>
      </c>
      <c r="L14" s="1" t="s">
        <v>58</v>
      </c>
    </row>
    <row r="15" spans="1:12" ht="12.75">
      <c r="A15" s="43">
        <v>3</v>
      </c>
      <c r="B15" s="6" t="s">
        <v>13</v>
      </c>
      <c r="C15" s="331" t="s">
        <v>842</v>
      </c>
      <c r="D15" s="6" t="s">
        <v>849</v>
      </c>
      <c r="E15" s="329"/>
      <c r="F15" s="43" t="s">
        <v>23</v>
      </c>
      <c r="G15" s="330">
        <v>21</v>
      </c>
      <c r="H15" s="12"/>
      <c r="I15" s="12">
        <f t="shared" si="0"/>
        <v>0</v>
      </c>
      <c r="J15" s="6"/>
      <c r="K15" s="49">
        <f t="shared" si="1"/>
        <v>0</v>
      </c>
      <c r="L15" s="1" t="s">
        <v>59</v>
      </c>
    </row>
    <row r="16" spans="1:12" ht="12.75">
      <c r="A16" s="43">
        <v>4</v>
      </c>
      <c r="B16" s="6" t="s">
        <v>839</v>
      </c>
      <c r="C16" s="331" t="s">
        <v>43</v>
      </c>
      <c r="D16" s="6" t="s">
        <v>850</v>
      </c>
      <c r="E16" s="329"/>
      <c r="F16" s="43" t="s">
        <v>11</v>
      </c>
      <c r="G16" s="330">
        <v>42</v>
      </c>
      <c r="H16" s="12"/>
      <c r="I16" s="12">
        <f t="shared" si="0"/>
        <v>0</v>
      </c>
      <c r="J16" s="6"/>
      <c r="K16" s="49"/>
      <c r="L16" s="1" t="s">
        <v>59</v>
      </c>
    </row>
    <row r="17" spans="1:12" ht="12.75">
      <c r="A17" s="43">
        <v>5</v>
      </c>
      <c r="B17" s="6" t="s">
        <v>13</v>
      </c>
      <c r="C17" s="42">
        <v>103</v>
      </c>
      <c r="D17" s="332" t="s">
        <v>843</v>
      </c>
      <c r="E17" s="329"/>
      <c r="F17" s="43" t="s">
        <v>203</v>
      </c>
      <c r="G17" s="330">
        <f>E18</f>
        <v>23.738400000000002</v>
      </c>
      <c r="H17" s="12"/>
      <c r="I17" s="12">
        <f t="shared" si="0"/>
        <v>0</v>
      </c>
      <c r="J17" s="6"/>
      <c r="K17" s="49">
        <f t="shared" si="1"/>
        <v>0</v>
      </c>
      <c r="L17" s="1" t="s">
        <v>59</v>
      </c>
    </row>
    <row r="18" spans="1:12" ht="12.75">
      <c r="A18" s="43"/>
      <c r="B18" s="6"/>
      <c r="C18" s="42"/>
      <c r="D18" s="51" t="s">
        <v>851</v>
      </c>
      <c r="E18" s="329">
        <f>0.6*0.6*3.14*1*21</f>
        <v>23.738400000000002</v>
      </c>
      <c r="F18" s="43"/>
      <c r="G18" s="330"/>
      <c r="H18" s="6"/>
      <c r="I18" s="12">
        <f t="shared" si="0"/>
        <v>0</v>
      </c>
      <c r="J18" s="6"/>
      <c r="K18" s="49">
        <f t="shared" si="1"/>
        <v>0</v>
      </c>
      <c r="L18" s="1"/>
    </row>
    <row r="19" spans="1:12" ht="12.75">
      <c r="A19" s="43">
        <v>6</v>
      </c>
      <c r="B19" s="6" t="s">
        <v>13</v>
      </c>
      <c r="C19" s="42">
        <v>103</v>
      </c>
      <c r="D19" s="42" t="s">
        <v>853</v>
      </c>
      <c r="E19" s="329"/>
      <c r="F19" s="43" t="s">
        <v>854</v>
      </c>
      <c r="G19" s="330">
        <f>E20</f>
        <v>47.476800000000004</v>
      </c>
      <c r="H19" s="12"/>
      <c r="I19" s="12">
        <f t="shared" si="0"/>
        <v>0</v>
      </c>
      <c r="J19" s="6"/>
      <c r="K19" s="49"/>
      <c r="L19" s="1" t="s">
        <v>59</v>
      </c>
    </row>
    <row r="20" spans="1:12" ht="12.75">
      <c r="A20" s="43"/>
      <c r="B20" s="6"/>
      <c r="C20" s="42"/>
      <c r="D20" s="51" t="s">
        <v>852</v>
      </c>
      <c r="E20" s="329">
        <f>2*E18</f>
        <v>47.476800000000004</v>
      </c>
      <c r="F20" s="43"/>
      <c r="G20" s="330"/>
      <c r="H20" s="6"/>
      <c r="I20" s="12"/>
      <c r="J20" s="6"/>
      <c r="K20" s="49"/>
      <c r="L20" s="1"/>
    </row>
    <row r="21" spans="1:12" ht="12.75">
      <c r="A21" s="43">
        <v>7</v>
      </c>
      <c r="B21" s="6" t="s">
        <v>839</v>
      </c>
      <c r="C21" s="42">
        <v>184215123</v>
      </c>
      <c r="D21" s="42" t="s">
        <v>844</v>
      </c>
      <c r="E21" s="329"/>
      <c r="F21" s="43" t="s">
        <v>23</v>
      </c>
      <c r="G21" s="330">
        <f>E22</f>
        <v>42</v>
      </c>
      <c r="H21" s="12"/>
      <c r="I21" s="12">
        <f t="shared" si="0"/>
        <v>0</v>
      </c>
      <c r="J21" s="6">
        <v>0.00031</v>
      </c>
      <c r="K21" s="49">
        <f t="shared" si="1"/>
        <v>0.01302</v>
      </c>
      <c r="L21" s="1" t="s">
        <v>58</v>
      </c>
    </row>
    <row r="22" spans="1:12" ht="12.75">
      <c r="A22" s="43"/>
      <c r="B22" s="6"/>
      <c r="C22" s="42"/>
      <c r="D22" s="51" t="s">
        <v>855</v>
      </c>
      <c r="E22" s="329">
        <f>2*21</f>
        <v>42</v>
      </c>
      <c r="F22" s="43"/>
      <c r="G22" s="330"/>
      <c r="H22" s="12"/>
      <c r="I22" s="12">
        <f t="shared" si="0"/>
        <v>0</v>
      </c>
      <c r="J22" s="6"/>
      <c r="K22" s="49">
        <f t="shared" si="1"/>
        <v>0</v>
      </c>
      <c r="L22" s="1"/>
    </row>
    <row r="23" spans="1:12" ht="25.5">
      <c r="A23" s="333">
        <v>8</v>
      </c>
      <c r="B23" s="334" t="s">
        <v>13</v>
      </c>
      <c r="C23" s="335">
        <v>605</v>
      </c>
      <c r="D23" s="328" t="s">
        <v>857</v>
      </c>
      <c r="E23" s="336"/>
      <c r="F23" s="121" t="s">
        <v>23</v>
      </c>
      <c r="G23" s="337">
        <f>SUM(E24)</f>
        <v>84</v>
      </c>
      <c r="H23" s="123"/>
      <c r="I23" s="123">
        <f t="shared" si="0"/>
        <v>0</v>
      </c>
      <c r="J23" s="334"/>
      <c r="K23" s="49">
        <f t="shared" si="1"/>
        <v>0</v>
      </c>
      <c r="L23" s="338" t="s">
        <v>59</v>
      </c>
    </row>
    <row r="24" spans="1:12" ht="12.75">
      <c r="A24" s="43"/>
      <c r="B24" s="6"/>
      <c r="C24" s="42"/>
      <c r="D24" s="51" t="s">
        <v>856</v>
      </c>
      <c r="E24" s="329">
        <f>4*21</f>
        <v>84</v>
      </c>
      <c r="F24" s="43"/>
      <c r="G24" s="330"/>
      <c r="H24" s="6"/>
      <c r="I24" s="12">
        <f t="shared" si="0"/>
        <v>0</v>
      </c>
      <c r="J24" s="6"/>
      <c r="K24" s="49">
        <f t="shared" si="1"/>
        <v>0</v>
      </c>
      <c r="L24" s="1"/>
    </row>
    <row r="25" spans="1:12" ht="12.75">
      <c r="A25" s="43">
        <v>9</v>
      </c>
      <c r="B25" s="6" t="s">
        <v>839</v>
      </c>
      <c r="C25" s="42">
        <v>184501114</v>
      </c>
      <c r="D25" s="332" t="s">
        <v>845</v>
      </c>
      <c r="E25" s="329"/>
      <c r="F25" s="43" t="s">
        <v>11</v>
      </c>
      <c r="G25" s="330">
        <f>SUM(E26)</f>
        <v>27.694799999999997</v>
      </c>
      <c r="H25" s="339"/>
      <c r="I25" s="12">
        <f t="shared" si="0"/>
        <v>0</v>
      </c>
      <c r="J25" s="6">
        <v>2E-05</v>
      </c>
      <c r="K25" s="49">
        <f t="shared" si="1"/>
        <v>0.000553896</v>
      </c>
      <c r="L25" s="1" t="s">
        <v>58</v>
      </c>
    </row>
    <row r="26" spans="1:12" ht="12.75">
      <c r="A26" s="43"/>
      <c r="B26" s="6"/>
      <c r="C26" s="42"/>
      <c r="D26" s="51" t="s">
        <v>859</v>
      </c>
      <c r="E26" s="329">
        <f>21*3.14*0.3*1.4</f>
        <v>27.694799999999997</v>
      </c>
      <c r="F26" s="43"/>
      <c r="G26" s="330"/>
      <c r="H26" s="6"/>
      <c r="I26" s="12">
        <f t="shared" si="0"/>
        <v>0</v>
      </c>
      <c r="J26" s="6"/>
      <c r="K26" s="49">
        <f t="shared" si="1"/>
        <v>0</v>
      </c>
      <c r="L26" s="1"/>
    </row>
    <row r="27" spans="1:12" ht="12.75">
      <c r="A27" s="43">
        <v>10</v>
      </c>
      <c r="B27" s="6" t="s">
        <v>13</v>
      </c>
      <c r="C27" s="42">
        <v>673131</v>
      </c>
      <c r="D27" s="332" t="s">
        <v>858</v>
      </c>
      <c r="E27" s="329"/>
      <c r="F27" s="43" t="s">
        <v>11</v>
      </c>
      <c r="G27" s="330">
        <f>SUM(E28)</f>
        <v>60.92856</v>
      </c>
      <c r="H27" s="339"/>
      <c r="I27" s="12">
        <f>G27*H27</f>
        <v>0</v>
      </c>
      <c r="J27" s="6">
        <v>2E-05</v>
      </c>
      <c r="K27" s="49">
        <f>G27*J27</f>
        <v>0.0012185712</v>
      </c>
      <c r="L27" s="1" t="s">
        <v>59</v>
      </c>
    </row>
    <row r="28" spans="1:12" ht="12.75">
      <c r="A28" s="43"/>
      <c r="B28" s="6"/>
      <c r="C28" s="42"/>
      <c r="D28" s="51" t="s">
        <v>860</v>
      </c>
      <c r="E28" s="329">
        <f>2*21*3.14*0.3*1.4*1.1</f>
        <v>60.92856</v>
      </c>
      <c r="F28" s="43"/>
      <c r="G28" s="330"/>
      <c r="H28" s="6"/>
      <c r="I28" s="12"/>
      <c r="J28" s="6"/>
      <c r="K28" s="49"/>
      <c r="L28" s="1"/>
    </row>
    <row r="29" spans="1:12" ht="12.75">
      <c r="A29" s="43">
        <v>11</v>
      </c>
      <c r="B29" s="6" t="s">
        <v>839</v>
      </c>
      <c r="C29" s="42" t="s">
        <v>43</v>
      </c>
      <c r="D29" s="42" t="s">
        <v>861</v>
      </c>
      <c r="E29" s="329"/>
      <c r="F29" s="43" t="s">
        <v>11</v>
      </c>
      <c r="G29" s="330">
        <f>E30</f>
        <v>30.24</v>
      </c>
      <c r="H29" s="12"/>
      <c r="I29" s="12">
        <f t="shared" si="0"/>
        <v>0</v>
      </c>
      <c r="J29" s="6"/>
      <c r="K29" s="49">
        <f t="shared" si="1"/>
        <v>0</v>
      </c>
      <c r="L29" s="1" t="s">
        <v>59</v>
      </c>
    </row>
    <row r="30" spans="1:12" ht="12.75">
      <c r="A30" s="43"/>
      <c r="B30" s="6"/>
      <c r="C30" s="42"/>
      <c r="D30" s="51" t="s">
        <v>862</v>
      </c>
      <c r="E30" s="329">
        <f>21*1.2*1.2</f>
        <v>30.24</v>
      </c>
      <c r="F30" s="43"/>
      <c r="G30" s="330"/>
      <c r="H30" s="12"/>
      <c r="I30" s="12"/>
      <c r="J30" s="6"/>
      <c r="K30" s="49"/>
      <c r="L30" s="1"/>
    </row>
    <row r="31" spans="1:12" ht="12.75">
      <c r="A31" s="43">
        <v>12</v>
      </c>
      <c r="B31" s="6" t="s">
        <v>839</v>
      </c>
      <c r="C31" s="42">
        <v>185804311</v>
      </c>
      <c r="D31" s="332" t="s">
        <v>846</v>
      </c>
      <c r="E31" s="329"/>
      <c r="F31" s="43" t="s">
        <v>203</v>
      </c>
      <c r="G31" s="330">
        <f>SUM(E32)</f>
        <v>2.1</v>
      </c>
      <c r="H31" s="12"/>
      <c r="I31" s="12">
        <f t="shared" si="0"/>
        <v>0</v>
      </c>
      <c r="J31" s="6"/>
      <c r="K31" s="49">
        <f t="shared" si="1"/>
        <v>0</v>
      </c>
      <c r="L31" s="1" t="s">
        <v>58</v>
      </c>
    </row>
    <row r="32" spans="1:12" ht="12.75">
      <c r="A32" s="43"/>
      <c r="B32" s="6"/>
      <c r="C32" s="42"/>
      <c r="D32" s="51" t="s">
        <v>863</v>
      </c>
      <c r="E32" s="329">
        <f>21*0.1</f>
        <v>2.1</v>
      </c>
      <c r="F32" s="43"/>
      <c r="G32" s="330"/>
      <c r="H32" s="12"/>
      <c r="I32" s="12">
        <f t="shared" si="0"/>
        <v>0</v>
      </c>
      <c r="J32" s="6"/>
      <c r="K32" s="49">
        <f t="shared" si="1"/>
        <v>0</v>
      </c>
      <c r="L32" s="1"/>
    </row>
    <row r="33" spans="1:12" ht="12.75">
      <c r="A33" s="43">
        <v>13</v>
      </c>
      <c r="B33" s="6" t="s">
        <v>839</v>
      </c>
      <c r="C33" s="42">
        <v>185851111</v>
      </c>
      <c r="D33" s="332" t="s">
        <v>847</v>
      </c>
      <c r="E33" s="329"/>
      <c r="F33" s="43" t="s">
        <v>203</v>
      </c>
      <c r="G33" s="330">
        <f>G31</f>
        <v>2.1</v>
      </c>
      <c r="H33" s="12"/>
      <c r="I33" s="12">
        <f t="shared" si="0"/>
        <v>0</v>
      </c>
      <c r="J33" s="6"/>
      <c r="K33" s="49">
        <f t="shared" si="1"/>
        <v>0</v>
      </c>
      <c r="L33" s="1" t="s">
        <v>58</v>
      </c>
    </row>
    <row r="34" spans="1:12" ht="12.75">
      <c r="A34" s="43">
        <v>14</v>
      </c>
      <c r="B34" s="6" t="s">
        <v>839</v>
      </c>
      <c r="C34" s="42" t="s">
        <v>43</v>
      </c>
      <c r="D34" s="42" t="s">
        <v>871</v>
      </c>
      <c r="E34" s="329"/>
      <c r="F34" s="43" t="s">
        <v>11</v>
      </c>
      <c r="G34" s="330">
        <f>SUM(E35:E35)</f>
        <v>42</v>
      </c>
      <c r="H34" s="12"/>
      <c r="I34" s="12">
        <f t="shared" si="0"/>
        <v>0</v>
      </c>
      <c r="J34" s="6"/>
      <c r="K34" s="49">
        <f t="shared" si="1"/>
        <v>0</v>
      </c>
      <c r="L34" s="1" t="s">
        <v>59</v>
      </c>
    </row>
    <row r="35" spans="1:12" ht="12.75">
      <c r="A35" s="43"/>
      <c r="B35" s="6"/>
      <c r="C35" s="42"/>
      <c r="D35" s="51" t="s">
        <v>872</v>
      </c>
      <c r="E35" s="329">
        <f>21*2</f>
        <v>42</v>
      </c>
      <c r="F35" s="43"/>
      <c r="G35" s="330"/>
      <c r="H35" s="6"/>
      <c r="I35" s="12">
        <f t="shared" si="0"/>
        <v>0</v>
      </c>
      <c r="J35" s="6"/>
      <c r="K35" s="49">
        <f t="shared" si="1"/>
        <v>0</v>
      </c>
      <c r="L35" s="1"/>
    </row>
    <row r="36" spans="1:12" ht="12.75">
      <c r="A36" s="43">
        <v>15</v>
      </c>
      <c r="B36" s="6"/>
      <c r="C36" s="42" t="s">
        <v>43</v>
      </c>
      <c r="D36" s="42" t="s">
        <v>873</v>
      </c>
      <c r="E36" s="329"/>
      <c r="F36" s="43" t="s">
        <v>23</v>
      </c>
      <c r="G36" s="330">
        <v>21</v>
      </c>
      <c r="H36" s="12"/>
      <c r="I36" s="12">
        <f t="shared" si="0"/>
        <v>0</v>
      </c>
      <c r="J36" s="6"/>
      <c r="K36" s="49">
        <f t="shared" si="1"/>
        <v>0</v>
      </c>
      <c r="L36" s="1" t="s">
        <v>59</v>
      </c>
    </row>
    <row r="37" spans="1:12" ht="12.75">
      <c r="A37" s="43">
        <v>16</v>
      </c>
      <c r="B37" s="6" t="s">
        <v>839</v>
      </c>
      <c r="C37" s="42">
        <v>998231311</v>
      </c>
      <c r="D37" s="42" t="s">
        <v>893</v>
      </c>
      <c r="E37" s="329"/>
      <c r="F37" s="43" t="s">
        <v>14</v>
      </c>
      <c r="G37" s="330">
        <f>K38</f>
        <v>0.0147924672</v>
      </c>
      <c r="H37" s="12"/>
      <c r="I37" s="12">
        <f t="shared" si="0"/>
        <v>0</v>
      </c>
      <c r="J37" s="6"/>
      <c r="K37" s="49"/>
      <c r="L37" s="1" t="s">
        <v>58</v>
      </c>
    </row>
    <row r="38" spans="1:12" ht="12.75">
      <c r="A38" s="6"/>
      <c r="B38" s="6"/>
      <c r="C38" s="42"/>
      <c r="D38" s="6"/>
      <c r="E38" s="330"/>
      <c r="F38" s="43"/>
      <c r="G38" s="352" t="s">
        <v>19</v>
      </c>
      <c r="H38" s="62"/>
      <c r="I38" s="63">
        <f>SUM(I12:I37)</f>
        <v>0</v>
      </c>
      <c r="J38" s="76"/>
      <c r="K38" s="357">
        <f>SUM(K12:K36)</f>
        <v>0.0147924672</v>
      </c>
      <c r="L38" s="77"/>
    </row>
    <row r="39" spans="1:12" ht="12.75">
      <c r="A39" s="45" t="s">
        <v>15</v>
      </c>
      <c r="B39" s="45"/>
      <c r="C39" s="16" t="s">
        <v>870</v>
      </c>
      <c r="D39" s="45"/>
      <c r="E39" s="343"/>
      <c r="F39" s="6"/>
      <c r="G39" s="330"/>
      <c r="H39" s="6"/>
      <c r="I39" s="6"/>
      <c r="J39" s="6"/>
      <c r="K39" s="6"/>
      <c r="L39" s="1"/>
    </row>
    <row r="40" spans="1:12" ht="6" customHeight="1">
      <c r="A40" s="47" t="s">
        <v>864</v>
      </c>
      <c r="B40" s="45"/>
      <c r="C40" s="16"/>
      <c r="D40" s="45"/>
      <c r="E40" s="343"/>
      <c r="F40" s="6"/>
      <c r="G40" s="330"/>
      <c r="H40" s="6"/>
      <c r="I40" s="6"/>
      <c r="J40" s="6"/>
      <c r="K40" s="6"/>
      <c r="L40" s="1"/>
    </row>
    <row r="41" spans="1:12" ht="12.75">
      <c r="A41" s="43">
        <v>1</v>
      </c>
      <c r="B41" s="6" t="s">
        <v>839</v>
      </c>
      <c r="C41" s="42">
        <v>133301101</v>
      </c>
      <c r="D41" s="6" t="s">
        <v>874</v>
      </c>
      <c r="E41" s="329"/>
      <c r="F41" s="43" t="s">
        <v>23</v>
      </c>
      <c r="G41" s="330">
        <f>SUM(E42:E42)</f>
        <v>23.040000000000006</v>
      </c>
      <c r="H41" s="12"/>
      <c r="I41" s="12">
        <f>G41*H41</f>
        <v>0</v>
      </c>
      <c r="J41" s="6"/>
      <c r="K41" s="49">
        <f>G41*J41</f>
        <v>0</v>
      </c>
      <c r="L41" s="1" t="s">
        <v>59</v>
      </c>
    </row>
    <row r="42" spans="1:12" ht="12.75">
      <c r="A42" s="43"/>
      <c r="B42" s="6"/>
      <c r="C42" s="42"/>
      <c r="D42" s="51" t="s">
        <v>875</v>
      </c>
      <c r="E42" s="329">
        <f>1.6*1.6*3*3</f>
        <v>23.040000000000006</v>
      </c>
      <c r="F42" s="43"/>
      <c r="G42" s="330"/>
      <c r="H42" s="6"/>
      <c r="I42" s="12">
        <f>G42*H42</f>
        <v>0</v>
      </c>
      <c r="J42" s="6"/>
      <c r="K42" s="49">
        <f>G42*J42</f>
        <v>0</v>
      </c>
      <c r="L42" s="1"/>
    </row>
    <row r="43" spans="1:12" ht="12.75">
      <c r="A43" s="43">
        <v>2</v>
      </c>
      <c r="B43" s="6" t="s">
        <v>876</v>
      </c>
      <c r="C43" s="42">
        <v>162701105</v>
      </c>
      <c r="D43" s="6" t="s">
        <v>877</v>
      </c>
      <c r="E43" s="330"/>
      <c r="F43" s="43" t="s">
        <v>203</v>
      </c>
      <c r="G43" s="330">
        <f>SUM(E44:E44)</f>
        <v>23.040000000000006</v>
      </c>
      <c r="H43" s="12"/>
      <c r="I43" s="12">
        <f>G43*H43</f>
        <v>0</v>
      </c>
      <c r="J43" s="6"/>
      <c r="K43" s="49">
        <f>G43*J43</f>
        <v>0</v>
      </c>
      <c r="L43" s="1" t="s">
        <v>58</v>
      </c>
    </row>
    <row r="44" spans="1:12" ht="12.75">
      <c r="A44" s="43"/>
      <c r="B44" s="6"/>
      <c r="C44" s="42"/>
      <c r="D44" s="51" t="s">
        <v>880</v>
      </c>
      <c r="E44" s="344">
        <f>G41</f>
        <v>23.040000000000006</v>
      </c>
      <c r="F44" s="43"/>
      <c r="G44" s="330"/>
      <c r="H44" s="12"/>
      <c r="I44" s="12"/>
      <c r="J44" s="6"/>
      <c r="K44" s="49"/>
      <c r="L44" s="1"/>
    </row>
    <row r="45" spans="1:12" ht="12.75">
      <c r="A45" s="43">
        <v>3</v>
      </c>
      <c r="B45" s="6" t="s">
        <v>876</v>
      </c>
      <c r="C45" s="42">
        <v>162701109</v>
      </c>
      <c r="D45" s="6" t="s">
        <v>878</v>
      </c>
      <c r="E45" s="330"/>
      <c r="F45" s="43" t="s">
        <v>203</v>
      </c>
      <c r="G45" s="330">
        <f>SUM(E47)</f>
        <v>115.2</v>
      </c>
      <c r="H45" s="362"/>
      <c r="I45" s="12">
        <f>G45*H45</f>
        <v>0</v>
      </c>
      <c r="J45" s="6"/>
      <c r="K45" s="49">
        <f aca="true" t="shared" si="2" ref="K45:K51">G45*J45</f>
        <v>0</v>
      </c>
      <c r="L45" s="1" t="s">
        <v>58</v>
      </c>
    </row>
    <row r="46" spans="1:12" ht="12.75">
      <c r="A46" s="43"/>
      <c r="B46" s="6"/>
      <c r="C46" s="42"/>
      <c r="D46" s="50" t="s">
        <v>52</v>
      </c>
      <c r="E46" s="348"/>
      <c r="F46" s="43"/>
      <c r="G46" s="330"/>
      <c r="H46" s="362"/>
      <c r="I46" s="12">
        <f>G46*H46</f>
        <v>0</v>
      </c>
      <c r="J46" s="6"/>
      <c r="K46" s="49">
        <f t="shared" si="2"/>
        <v>0</v>
      </c>
      <c r="L46" s="1"/>
    </row>
    <row r="47" spans="1:12" ht="12.75">
      <c r="A47" s="43"/>
      <c r="B47" s="6"/>
      <c r="C47" s="42"/>
      <c r="D47" s="51" t="s">
        <v>881</v>
      </c>
      <c r="E47" s="329">
        <f>ROUND((15-10)*G43,2)</f>
        <v>115.2</v>
      </c>
      <c r="F47" s="43"/>
      <c r="G47" s="330"/>
      <c r="H47" s="362"/>
      <c r="I47" s="12"/>
      <c r="J47" s="6"/>
      <c r="K47" s="49">
        <f t="shared" si="2"/>
        <v>0</v>
      </c>
      <c r="L47" s="1"/>
    </row>
    <row r="48" spans="1:12" ht="12.75">
      <c r="A48" s="43">
        <v>4</v>
      </c>
      <c r="B48" s="6" t="s">
        <v>876</v>
      </c>
      <c r="C48" s="42">
        <v>162701110</v>
      </c>
      <c r="D48" s="6" t="s">
        <v>879</v>
      </c>
      <c r="E48" s="330"/>
      <c r="F48" s="43" t="s">
        <v>14</v>
      </c>
      <c r="G48" s="330">
        <f>E49</f>
        <v>38.016000000000005</v>
      </c>
      <c r="H48" s="12"/>
      <c r="I48" s="12">
        <f>G48*H48</f>
        <v>0</v>
      </c>
      <c r="J48" s="6"/>
      <c r="K48" s="49">
        <f t="shared" si="2"/>
        <v>0</v>
      </c>
      <c r="L48" s="1" t="s">
        <v>58</v>
      </c>
    </row>
    <row r="49" spans="1:12" ht="12.75">
      <c r="A49" s="43"/>
      <c r="B49" s="6"/>
      <c r="C49" s="42"/>
      <c r="D49" s="51" t="s">
        <v>882</v>
      </c>
      <c r="E49" s="329">
        <f>1.65*G43</f>
        <v>38.016000000000005</v>
      </c>
      <c r="F49" s="43"/>
      <c r="G49" s="330"/>
      <c r="H49" s="6"/>
      <c r="I49" s="12">
        <f>G49*H49</f>
        <v>0</v>
      </c>
      <c r="J49" s="6"/>
      <c r="K49" s="49">
        <f t="shared" si="2"/>
        <v>0</v>
      </c>
      <c r="L49" s="1"/>
    </row>
    <row r="50" spans="1:12" ht="12.75">
      <c r="A50" s="43">
        <v>5</v>
      </c>
      <c r="B50" s="6"/>
      <c r="C50" s="42" t="s">
        <v>43</v>
      </c>
      <c r="D50" s="6" t="s">
        <v>883</v>
      </c>
      <c r="E50" s="329"/>
      <c r="F50" s="43" t="s">
        <v>23</v>
      </c>
      <c r="G50" s="330">
        <v>3</v>
      </c>
      <c r="H50" s="12"/>
      <c r="I50" s="12">
        <f>G50*H50</f>
        <v>0</v>
      </c>
      <c r="J50" s="6"/>
      <c r="K50" s="49">
        <f t="shared" si="2"/>
        <v>0</v>
      </c>
      <c r="L50" s="1" t="s">
        <v>59</v>
      </c>
    </row>
    <row r="51" spans="1:12" ht="12.75">
      <c r="A51" s="43">
        <v>6</v>
      </c>
      <c r="B51" s="6" t="s">
        <v>53</v>
      </c>
      <c r="C51" s="42">
        <v>4515</v>
      </c>
      <c r="D51" s="6" t="s">
        <v>884</v>
      </c>
      <c r="E51" s="329"/>
      <c r="F51" s="43" t="s">
        <v>203</v>
      </c>
      <c r="G51" s="330">
        <f>E52</f>
        <v>1.5072</v>
      </c>
      <c r="H51" s="339"/>
      <c r="I51" s="12">
        <f>G51*H51</f>
        <v>0</v>
      </c>
      <c r="J51" s="6">
        <v>1.89077</v>
      </c>
      <c r="K51" s="49">
        <f t="shared" si="2"/>
        <v>2.8497685440000002</v>
      </c>
      <c r="L51" s="1" t="s">
        <v>59</v>
      </c>
    </row>
    <row r="52" spans="1:12" ht="12.75">
      <c r="A52" s="43"/>
      <c r="B52" s="6"/>
      <c r="C52" s="42"/>
      <c r="D52" s="51" t="s">
        <v>885</v>
      </c>
      <c r="E52" s="329">
        <f>3*0.25*3.14*0.8*0.8</f>
        <v>1.5072</v>
      </c>
      <c r="F52" s="43"/>
      <c r="G52" s="330"/>
      <c r="H52" s="6"/>
      <c r="I52" s="12"/>
      <c r="J52" s="6"/>
      <c r="K52" s="49"/>
      <c r="L52" s="1"/>
    </row>
    <row r="53" spans="1:12" ht="12.75">
      <c r="A53" s="43">
        <v>7</v>
      </c>
      <c r="B53" s="6" t="s">
        <v>839</v>
      </c>
      <c r="C53" s="331" t="s">
        <v>43</v>
      </c>
      <c r="D53" s="6" t="s">
        <v>850</v>
      </c>
      <c r="E53" s="329"/>
      <c r="F53" s="43" t="s">
        <v>11</v>
      </c>
      <c r="G53" s="330">
        <v>6</v>
      </c>
      <c r="H53" s="12"/>
      <c r="I53" s="12">
        <f>G53*H53</f>
        <v>0</v>
      </c>
      <c r="J53" s="6"/>
      <c r="K53" s="49"/>
      <c r="L53" s="1" t="s">
        <v>59</v>
      </c>
    </row>
    <row r="54" spans="1:12" ht="12.75">
      <c r="A54" s="43">
        <v>8</v>
      </c>
      <c r="B54" s="6" t="s">
        <v>13</v>
      </c>
      <c r="C54" s="42">
        <v>103</v>
      </c>
      <c r="D54" s="332" t="s">
        <v>843</v>
      </c>
      <c r="E54" s="329"/>
      <c r="F54" s="43" t="s">
        <v>203</v>
      </c>
      <c r="G54" s="330">
        <f>E55</f>
        <v>15</v>
      </c>
      <c r="H54" s="12"/>
      <c r="I54" s="12">
        <f>G54*H54</f>
        <v>0</v>
      </c>
      <c r="J54" s="6"/>
      <c r="K54" s="49">
        <f>G54*J54</f>
        <v>0</v>
      </c>
      <c r="L54" s="1" t="s">
        <v>59</v>
      </c>
    </row>
    <row r="55" spans="1:12" ht="12.75">
      <c r="A55" s="43"/>
      <c r="B55" s="6"/>
      <c r="C55" s="42"/>
      <c r="D55" s="51" t="s">
        <v>886</v>
      </c>
      <c r="E55" s="329">
        <f>5*3</f>
        <v>15</v>
      </c>
      <c r="F55" s="43"/>
      <c r="G55" s="330"/>
      <c r="H55" s="6"/>
      <c r="I55" s="12">
        <f>G55*H55</f>
        <v>0</v>
      </c>
      <c r="J55" s="6"/>
      <c r="K55" s="49">
        <f>G55*J55</f>
        <v>0</v>
      </c>
      <c r="L55" s="1"/>
    </row>
    <row r="56" spans="1:12" ht="12.75">
      <c r="A56" s="43">
        <v>9</v>
      </c>
      <c r="B56" s="6" t="s">
        <v>13</v>
      </c>
      <c r="C56" s="42">
        <v>103</v>
      </c>
      <c r="D56" s="42" t="s">
        <v>853</v>
      </c>
      <c r="E56" s="329"/>
      <c r="F56" s="43" t="s">
        <v>854</v>
      </c>
      <c r="G56" s="330">
        <f>E57</f>
        <v>30</v>
      </c>
      <c r="H56" s="12"/>
      <c r="I56" s="12">
        <f>G56*H56</f>
        <v>0</v>
      </c>
      <c r="J56" s="6"/>
      <c r="K56" s="49"/>
      <c r="L56" s="1" t="s">
        <v>59</v>
      </c>
    </row>
    <row r="57" spans="1:12" ht="12.75">
      <c r="A57" s="43"/>
      <c r="B57" s="6"/>
      <c r="C57" s="42"/>
      <c r="D57" s="51" t="s">
        <v>852</v>
      </c>
      <c r="E57" s="329">
        <f>2*E55</f>
        <v>30</v>
      </c>
      <c r="F57" s="43"/>
      <c r="G57" s="330"/>
      <c r="H57" s="6"/>
      <c r="I57" s="12"/>
      <c r="J57" s="6"/>
      <c r="K57" s="49"/>
      <c r="L57" s="1"/>
    </row>
    <row r="58" spans="1:12" ht="12.75">
      <c r="A58" s="43">
        <v>10</v>
      </c>
      <c r="B58" s="6" t="s">
        <v>839</v>
      </c>
      <c r="C58" s="42">
        <v>184102118</v>
      </c>
      <c r="D58" s="6" t="s">
        <v>841</v>
      </c>
      <c r="E58" s="329"/>
      <c r="F58" s="43" t="s">
        <v>23</v>
      </c>
      <c r="G58" s="330">
        <f>E59</f>
        <v>3</v>
      </c>
      <c r="H58" s="12"/>
      <c r="I58" s="12">
        <f>G58*H58</f>
        <v>0</v>
      </c>
      <c r="J58" s="6"/>
      <c r="K58" s="49">
        <f>G58*J58</f>
        <v>0</v>
      </c>
      <c r="L58" s="1" t="s">
        <v>58</v>
      </c>
    </row>
    <row r="59" spans="1:12" ht="12.75">
      <c r="A59" s="43"/>
      <c r="B59" s="6"/>
      <c r="C59" s="42"/>
      <c r="D59" s="51" t="s">
        <v>848</v>
      </c>
      <c r="E59" s="329">
        <v>3</v>
      </c>
      <c r="F59" s="43"/>
      <c r="G59" s="330"/>
      <c r="H59" s="12"/>
      <c r="I59" s="12"/>
      <c r="J59" s="6"/>
      <c r="K59" s="49"/>
      <c r="L59" s="1"/>
    </row>
    <row r="60" spans="1:12" ht="12.75">
      <c r="A60" s="43">
        <v>11</v>
      </c>
      <c r="B60" s="6" t="s">
        <v>13</v>
      </c>
      <c r="C60" s="331" t="s">
        <v>842</v>
      </c>
      <c r="D60" s="6" t="s">
        <v>849</v>
      </c>
      <c r="E60" s="329"/>
      <c r="F60" s="43" t="s">
        <v>23</v>
      </c>
      <c r="G60" s="330">
        <v>3</v>
      </c>
      <c r="H60" s="12"/>
      <c r="I60" s="12">
        <f>G60*H60</f>
        <v>0</v>
      </c>
      <c r="J60" s="6"/>
      <c r="K60" s="49">
        <f>G60*J60</f>
        <v>0</v>
      </c>
      <c r="L60" s="1" t="s">
        <v>59</v>
      </c>
    </row>
    <row r="61" spans="1:12" ht="12.75">
      <c r="A61" s="43">
        <v>12</v>
      </c>
      <c r="B61" s="6" t="s">
        <v>839</v>
      </c>
      <c r="C61" s="42">
        <v>184215123</v>
      </c>
      <c r="D61" s="42" t="s">
        <v>844</v>
      </c>
      <c r="E61" s="329"/>
      <c r="F61" s="43" t="s">
        <v>23</v>
      </c>
      <c r="G61" s="330">
        <f>E62</f>
        <v>6</v>
      </c>
      <c r="H61" s="12"/>
      <c r="I61" s="12">
        <f aca="true" t="shared" si="3" ref="I61:I67">G61*H61</f>
        <v>0</v>
      </c>
      <c r="J61" s="6">
        <v>0.00031</v>
      </c>
      <c r="K61" s="49">
        <f aca="true" t="shared" si="4" ref="K61:K67">G61*J61</f>
        <v>0.00186</v>
      </c>
      <c r="L61" s="1" t="s">
        <v>58</v>
      </c>
    </row>
    <row r="62" spans="1:12" ht="12.75">
      <c r="A62" s="43"/>
      <c r="B62" s="6"/>
      <c r="C62" s="42"/>
      <c r="D62" s="51" t="s">
        <v>887</v>
      </c>
      <c r="E62" s="329">
        <f>2*3</f>
        <v>6</v>
      </c>
      <c r="F62" s="43"/>
      <c r="G62" s="330"/>
      <c r="H62" s="12"/>
      <c r="I62" s="12">
        <f t="shared" si="3"/>
        <v>0</v>
      </c>
      <c r="J62" s="6"/>
      <c r="K62" s="49">
        <f t="shared" si="4"/>
        <v>0</v>
      </c>
      <c r="L62" s="1"/>
    </row>
    <row r="63" spans="1:12" ht="25.5">
      <c r="A63" s="333">
        <v>11</v>
      </c>
      <c r="B63" s="334" t="s">
        <v>13</v>
      </c>
      <c r="C63" s="335">
        <v>605</v>
      </c>
      <c r="D63" s="328" t="s">
        <v>857</v>
      </c>
      <c r="E63" s="336"/>
      <c r="F63" s="121" t="s">
        <v>23</v>
      </c>
      <c r="G63" s="337">
        <f>SUM(E64)</f>
        <v>12</v>
      </c>
      <c r="H63" s="123"/>
      <c r="I63" s="123">
        <f t="shared" si="3"/>
        <v>0</v>
      </c>
      <c r="J63" s="334"/>
      <c r="K63" s="49">
        <f t="shared" si="4"/>
        <v>0</v>
      </c>
      <c r="L63" s="338" t="s">
        <v>59</v>
      </c>
    </row>
    <row r="64" spans="1:12" ht="12.75">
      <c r="A64" s="43"/>
      <c r="B64" s="6"/>
      <c r="C64" s="42"/>
      <c r="D64" s="51" t="s">
        <v>888</v>
      </c>
      <c r="E64" s="329">
        <f>4*3</f>
        <v>12</v>
      </c>
      <c r="F64" s="43"/>
      <c r="G64" s="330"/>
      <c r="H64" s="6"/>
      <c r="I64" s="12">
        <f t="shared" si="3"/>
        <v>0</v>
      </c>
      <c r="J64" s="6"/>
      <c r="K64" s="49">
        <f t="shared" si="4"/>
        <v>0</v>
      </c>
      <c r="L64" s="1"/>
    </row>
    <row r="65" spans="1:12" ht="12.75">
      <c r="A65" s="43">
        <v>12</v>
      </c>
      <c r="B65" s="6" t="s">
        <v>839</v>
      </c>
      <c r="C65" s="42">
        <v>184501114</v>
      </c>
      <c r="D65" s="332" t="s">
        <v>845</v>
      </c>
      <c r="E65" s="329"/>
      <c r="F65" s="43" t="s">
        <v>11</v>
      </c>
      <c r="G65" s="330">
        <f>SUM(E66)</f>
        <v>3.9564</v>
      </c>
      <c r="H65" s="339"/>
      <c r="I65" s="12">
        <f t="shared" si="3"/>
        <v>0</v>
      </c>
      <c r="J65" s="6">
        <v>2E-05</v>
      </c>
      <c r="K65" s="49">
        <f t="shared" si="4"/>
        <v>7.9128E-05</v>
      </c>
      <c r="L65" s="1" t="s">
        <v>58</v>
      </c>
    </row>
    <row r="66" spans="1:12" ht="12.75">
      <c r="A66" s="43"/>
      <c r="B66" s="6"/>
      <c r="C66" s="42"/>
      <c r="D66" s="51" t="s">
        <v>889</v>
      </c>
      <c r="E66" s="329">
        <f>3*3.14*0.3*1.4</f>
        <v>3.9564</v>
      </c>
      <c r="F66" s="43"/>
      <c r="G66" s="330"/>
      <c r="H66" s="6"/>
      <c r="I66" s="12">
        <f t="shared" si="3"/>
        <v>0</v>
      </c>
      <c r="J66" s="6"/>
      <c r="K66" s="49">
        <f t="shared" si="4"/>
        <v>0</v>
      </c>
      <c r="L66" s="1"/>
    </row>
    <row r="67" spans="1:12" ht="12.75">
      <c r="A67" s="43">
        <v>13</v>
      </c>
      <c r="B67" s="6" t="s">
        <v>13</v>
      </c>
      <c r="C67" s="42">
        <v>673131</v>
      </c>
      <c r="D67" s="332" t="s">
        <v>858</v>
      </c>
      <c r="E67" s="329"/>
      <c r="F67" s="43" t="s">
        <v>11</v>
      </c>
      <c r="G67" s="330">
        <f>SUM(E68)</f>
        <v>8.704080000000001</v>
      </c>
      <c r="H67" s="339"/>
      <c r="I67" s="12">
        <f t="shared" si="3"/>
        <v>0</v>
      </c>
      <c r="J67" s="6">
        <v>2E-05</v>
      </c>
      <c r="K67" s="49">
        <f t="shared" si="4"/>
        <v>0.00017408160000000004</v>
      </c>
      <c r="L67" s="1" t="s">
        <v>59</v>
      </c>
    </row>
    <row r="68" spans="1:12" ht="12.75">
      <c r="A68" s="43"/>
      <c r="B68" s="6"/>
      <c r="C68" s="42"/>
      <c r="D68" s="51" t="s">
        <v>890</v>
      </c>
      <c r="E68" s="329">
        <f>2*3*3.14*0.3*1.4*1.1</f>
        <v>8.704080000000001</v>
      </c>
      <c r="F68" s="43"/>
      <c r="G68" s="330"/>
      <c r="H68" s="6"/>
      <c r="I68" s="12"/>
      <c r="J68" s="6"/>
      <c r="K68" s="49"/>
      <c r="L68" s="1"/>
    </row>
    <row r="69" spans="1:12" ht="12.75">
      <c r="A69" s="43">
        <v>14</v>
      </c>
      <c r="B69" s="6" t="s">
        <v>839</v>
      </c>
      <c r="C69" s="42" t="s">
        <v>43</v>
      </c>
      <c r="D69" s="42" t="s">
        <v>861</v>
      </c>
      <c r="E69" s="329"/>
      <c r="F69" s="43" t="s">
        <v>11</v>
      </c>
      <c r="G69" s="330">
        <f>E70</f>
        <v>4.319999999999999</v>
      </c>
      <c r="H69" s="12"/>
      <c r="I69" s="12">
        <f>G69*H69</f>
        <v>0</v>
      </c>
      <c r="J69" s="6"/>
      <c r="K69" s="49">
        <f>G69*J69</f>
        <v>0</v>
      </c>
      <c r="L69" s="1" t="s">
        <v>59</v>
      </c>
    </row>
    <row r="70" spans="1:12" ht="12.75">
      <c r="A70" s="43"/>
      <c r="B70" s="6"/>
      <c r="C70" s="42"/>
      <c r="D70" s="51" t="s">
        <v>891</v>
      </c>
      <c r="E70" s="329">
        <f>3*1.2*1.2</f>
        <v>4.319999999999999</v>
      </c>
      <c r="F70" s="43"/>
      <c r="G70" s="330"/>
      <c r="H70" s="12"/>
      <c r="I70" s="12"/>
      <c r="J70" s="6"/>
      <c r="K70" s="49"/>
      <c r="L70" s="1"/>
    </row>
    <row r="71" spans="1:12" ht="12.75">
      <c r="A71" s="43">
        <v>15</v>
      </c>
      <c r="B71" s="6" t="s">
        <v>839</v>
      </c>
      <c r="C71" s="42">
        <v>185804311</v>
      </c>
      <c r="D71" s="332" t="s">
        <v>846</v>
      </c>
      <c r="E71" s="329"/>
      <c r="F71" s="43" t="s">
        <v>203</v>
      </c>
      <c r="G71" s="330">
        <f>SUM(E72)</f>
        <v>0.30000000000000004</v>
      </c>
      <c r="H71" s="12"/>
      <c r="I71" s="12">
        <f>G71*H71</f>
        <v>0</v>
      </c>
      <c r="J71" s="6"/>
      <c r="K71" s="49">
        <f>G71*J71</f>
        <v>0</v>
      </c>
      <c r="L71" s="1" t="s">
        <v>58</v>
      </c>
    </row>
    <row r="72" spans="1:12" ht="12.75">
      <c r="A72" s="43"/>
      <c r="B72" s="6"/>
      <c r="C72" s="42"/>
      <c r="D72" s="51" t="s">
        <v>892</v>
      </c>
      <c r="E72" s="329">
        <f>3*0.1</f>
        <v>0.30000000000000004</v>
      </c>
      <c r="F72" s="43"/>
      <c r="G72" s="330"/>
      <c r="H72" s="12"/>
      <c r="I72" s="12">
        <f>G72*H72</f>
        <v>0</v>
      </c>
      <c r="J72" s="6"/>
      <c r="K72" s="49">
        <f>G72*J72</f>
        <v>0</v>
      </c>
      <c r="L72" s="1"/>
    </row>
    <row r="73" spans="1:12" ht="12.75">
      <c r="A73" s="43">
        <v>16</v>
      </c>
      <c r="B73" s="6" t="s">
        <v>839</v>
      </c>
      <c r="C73" s="42">
        <v>185851111</v>
      </c>
      <c r="D73" s="332" t="s">
        <v>847</v>
      </c>
      <c r="E73" s="329"/>
      <c r="F73" s="43" t="s">
        <v>203</v>
      </c>
      <c r="G73" s="330">
        <f>G71</f>
        <v>0.30000000000000004</v>
      </c>
      <c r="H73" s="12"/>
      <c r="I73" s="12">
        <f>G73*H73</f>
        <v>0</v>
      </c>
      <c r="J73" s="6"/>
      <c r="K73" s="49">
        <f>G73*J73</f>
        <v>0</v>
      </c>
      <c r="L73" s="1" t="s">
        <v>58</v>
      </c>
    </row>
    <row r="74" spans="1:12" ht="12.75">
      <c r="A74" s="43">
        <v>17</v>
      </c>
      <c r="B74" s="6"/>
      <c r="C74" s="42" t="s">
        <v>43</v>
      </c>
      <c r="D74" s="42" t="s">
        <v>873</v>
      </c>
      <c r="E74" s="329"/>
      <c r="F74" s="43" t="s">
        <v>23</v>
      </c>
      <c r="G74" s="330">
        <v>21</v>
      </c>
      <c r="H74" s="12"/>
      <c r="I74" s="12">
        <f>G74*H74</f>
        <v>0</v>
      </c>
      <c r="J74" s="6"/>
      <c r="K74" s="49">
        <f>G74*J74</f>
        <v>0</v>
      </c>
      <c r="L74" s="1" t="s">
        <v>59</v>
      </c>
    </row>
    <row r="75" spans="1:12" ht="12.75">
      <c r="A75" s="43">
        <v>18</v>
      </c>
      <c r="B75" s="6" t="s">
        <v>839</v>
      </c>
      <c r="C75" s="42">
        <v>998231311</v>
      </c>
      <c r="D75" s="42" t="s">
        <v>893</v>
      </c>
      <c r="E75" s="329"/>
      <c r="F75" s="43" t="s">
        <v>14</v>
      </c>
      <c r="G75" s="330">
        <f>K76</f>
        <v>2.8518817536000003</v>
      </c>
      <c r="H75" s="12"/>
      <c r="I75" s="12">
        <f>G75*H75</f>
        <v>0</v>
      </c>
      <c r="J75" s="6"/>
      <c r="K75" s="49"/>
      <c r="L75" s="1" t="s">
        <v>58</v>
      </c>
    </row>
    <row r="76" spans="1:12" ht="12.75">
      <c r="A76" s="6"/>
      <c r="B76" s="6"/>
      <c r="C76" s="42"/>
      <c r="D76" s="6"/>
      <c r="E76" s="330"/>
      <c r="F76" s="43"/>
      <c r="G76" s="352" t="s">
        <v>19</v>
      </c>
      <c r="H76" s="62"/>
      <c r="I76" s="63">
        <f>SUM(I41:I75)</f>
        <v>0</v>
      </c>
      <c r="J76" s="76"/>
      <c r="K76" s="357">
        <f>SUM(K41:K74)</f>
        <v>2.8518817536000003</v>
      </c>
      <c r="L76" s="77"/>
    </row>
    <row r="77" spans="1:12" ht="12.75">
      <c r="A77" s="45" t="s">
        <v>15</v>
      </c>
      <c r="B77" s="45"/>
      <c r="C77" s="16" t="s">
        <v>921</v>
      </c>
      <c r="D77" s="45"/>
      <c r="E77" s="343"/>
      <c r="F77" s="6"/>
      <c r="G77" s="330"/>
      <c r="H77" s="6"/>
      <c r="I77" s="6"/>
      <c r="J77" s="6"/>
      <c r="K77" s="6"/>
      <c r="L77" s="1"/>
    </row>
    <row r="78" spans="1:12" ht="6" customHeight="1">
      <c r="A78" s="47" t="s">
        <v>864</v>
      </c>
      <c r="B78" s="45"/>
      <c r="C78" s="16"/>
      <c r="D78" s="45"/>
      <c r="E78" s="343"/>
      <c r="F78" s="6"/>
      <c r="G78" s="330"/>
      <c r="H78" s="6"/>
      <c r="I78" s="6"/>
      <c r="J78" s="6"/>
      <c r="K78" s="6"/>
      <c r="L78" s="1"/>
    </row>
    <row r="79" spans="1:12" ht="12.75">
      <c r="A79" s="43">
        <v>1</v>
      </c>
      <c r="B79" s="6" t="s">
        <v>839</v>
      </c>
      <c r="C79" s="384">
        <v>184921093</v>
      </c>
      <c r="D79" t="s">
        <v>898</v>
      </c>
      <c r="E79"/>
      <c r="F79" s="383" t="s">
        <v>11</v>
      </c>
      <c r="G79" s="330">
        <f>SUM(E81)</f>
        <v>16.200000000000003</v>
      </c>
      <c r="H79" s="12"/>
      <c r="I79" s="12">
        <f>G79*H79</f>
        <v>0</v>
      </c>
      <c r="J79" s="6"/>
      <c r="K79" s="49">
        <f>G79*J79</f>
        <v>0</v>
      </c>
      <c r="L79" s="1" t="s">
        <v>58</v>
      </c>
    </row>
    <row r="80" spans="1:12" ht="12.75">
      <c r="A80" s="43"/>
      <c r="B80" s="6"/>
      <c r="C80"/>
      <c r="D80" s="382" t="s">
        <v>905</v>
      </c>
      <c r="E80"/>
      <c r="F80">
        <v>0</v>
      </c>
      <c r="G80" s="330"/>
      <c r="H80" s="6"/>
      <c r="I80" s="12">
        <f aca="true" t="shared" si="5" ref="I80:I85">G80*H80</f>
        <v>0</v>
      </c>
      <c r="J80" s="6"/>
      <c r="K80" s="49">
        <f>G80*J80</f>
        <v>0</v>
      </c>
      <c r="L80" s="1"/>
    </row>
    <row r="81" spans="1:12" ht="12.75">
      <c r="A81" s="43"/>
      <c r="B81" s="6"/>
      <c r="C81"/>
      <c r="D81" s="51" t="s">
        <v>923</v>
      </c>
      <c r="E81" s="329">
        <f>24*1.5*1.5*0.1*3</f>
        <v>16.200000000000003</v>
      </c>
      <c r="F81"/>
      <c r="G81" s="330"/>
      <c r="H81" s="12"/>
      <c r="I81" s="12">
        <f t="shared" si="5"/>
        <v>0</v>
      </c>
      <c r="J81" s="6"/>
      <c r="K81" s="49">
        <f>G81*J81</f>
        <v>0</v>
      </c>
      <c r="L81" s="1"/>
    </row>
    <row r="82" spans="1:12" ht="12.75">
      <c r="A82" s="43">
        <v>2</v>
      </c>
      <c r="B82" s="6" t="s">
        <v>839</v>
      </c>
      <c r="C82" s="384">
        <v>185804311</v>
      </c>
      <c r="D82" t="s">
        <v>846</v>
      </c>
      <c r="E82"/>
      <c r="F82" s="383" t="s">
        <v>203</v>
      </c>
      <c r="G82" s="330">
        <f>E84</f>
        <v>43.2</v>
      </c>
      <c r="H82" s="12"/>
      <c r="I82" s="12">
        <f t="shared" si="5"/>
        <v>0</v>
      </c>
      <c r="J82" s="6"/>
      <c r="K82" s="49"/>
      <c r="L82" s="1" t="s">
        <v>58</v>
      </c>
    </row>
    <row r="83" spans="1:12" ht="12.75">
      <c r="A83" s="43"/>
      <c r="B83" s="6"/>
      <c r="C83"/>
      <c r="D83" s="382" t="s">
        <v>905</v>
      </c>
      <c r="E83"/>
      <c r="F83">
        <v>0</v>
      </c>
      <c r="G83" s="2"/>
      <c r="H83"/>
      <c r="I83" s="12">
        <f t="shared" si="5"/>
        <v>0</v>
      </c>
      <c r="J83" s="6"/>
      <c r="K83" s="49">
        <f>G82*J83</f>
        <v>0</v>
      </c>
      <c r="L83" s="1"/>
    </row>
    <row r="84" spans="1:12" ht="12.75">
      <c r="A84" s="43"/>
      <c r="B84" s="6"/>
      <c r="C84"/>
      <c r="D84" s="51" t="s">
        <v>924</v>
      </c>
      <c r="E84" s="329">
        <f>24*0.1*3*6</f>
        <v>43.2</v>
      </c>
      <c r="F84">
        <v>0</v>
      </c>
      <c r="G84" s="330"/>
      <c r="H84"/>
      <c r="I84" s="12">
        <f t="shared" si="5"/>
        <v>0</v>
      </c>
      <c r="J84" s="6"/>
      <c r="K84" s="49">
        <f>G84*J84</f>
        <v>0</v>
      </c>
      <c r="L84" s="1"/>
    </row>
    <row r="85" spans="1:12" ht="12.75">
      <c r="A85" s="43">
        <v>3</v>
      </c>
      <c r="B85" s="6" t="s">
        <v>839</v>
      </c>
      <c r="C85" s="384">
        <v>185851111</v>
      </c>
      <c r="D85" t="s">
        <v>847</v>
      </c>
      <c r="E85"/>
      <c r="F85" s="383" t="s">
        <v>203</v>
      </c>
      <c r="G85" s="330">
        <f>E86</f>
        <v>43.2</v>
      </c>
      <c r="H85" s="12"/>
      <c r="I85" s="12">
        <f t="shared" si="5"/>
        <v>0</v>
      </c>
      <c r="J85" s="6"/>
      <c r="K85" s="49"/>
      <c r="L85" s="1" t="s">
        <v>58</v>
      </c>
    </row>
    <row r="86" spans="1:12" ht="12.75">
      <c r="A86" s="43"/>
      <c r="B86" s="6"/>
      <c r="C86" s="384"/>
      <c r="D86" s="51" t="s">
        <v>925</v>
      </c>
      <c r="E86" s="329">
        <f>E84</f>
        <v>43.2</v>
      </c>
      <c r="F86" s="383"/>
      <c r="G86" s="330"/>
      <c r="H86"/>
      <c r="I86" s="12"/>
      <c r="J86" s="6"/>
      <c r="K86" s="49"/>
      <c r="L86" s="1"/>
    </row>
    <row r="87" spans="1:12" ht="12.75">
      <c r="A87" s="43">
        <v>4</v>
      </c>
      <c r="B87" s="6"/>
      <c r="C87" s="384">
        <v>18</v>
      </c>
      <c r="D87" t="s">
        <v>901</v>
      </c>
      <c r="E87"/>
      <c r="F87" s="383" t="s">
        <v>23</v>
      </c>
      <c r="G87" s="330">
        <f>SUM(E89)</f>
        <v>72</v>
      </c>
      <c r="H87" s="12"/>
      <c r="I87" s="12">
        <f aca="true" t="shared" si="6" ref="I87:I92">G87*H87</f>
        <v>0</v>
      </c>
      <c r="J87" s="6"/>
      <c r="K87" s="49"/>
      <c r="L87" s="338" t="s">
        <v>59</v>
      </c>
    </row>
    <row r="88" spans="1:12" ht="12.75">
      <c r="A88" s="43"/>
      <c r="B88" s="6"/>
      <c r="C88"/>
      <c r="D88" s="382" t="s">
        <v>905</v>
      </c>
      <c r="E88"/>
      <c r="F88">
        <v>0</v>
      </c>
      <c r="G88" s="330"/>
      <c r="H88"/>
      <c r="I88" s="12">
        <f t="shared" si="6"/>
        <v>0</v>
      </c>
      <c r="J88" s="6"/>
      <c r="K88" s="49">
        <f>G88*J88</f>
        <v>0</v>
      </c>
      <c r="L88" s="1"/>
    </row>
    <row r="89" spans="1:12" ht="12.75">
      <c r="A89" s="333"/>
      <c r="B89" s="334"/>
      <c r="C89"/>
      <c r="D89" s="51" t="s">
        <v>926</v>
      </c>
      <c r="E89" s="329">
        <f>24*3</f>
        <v>72</v>
      </c>
      <c r="F89"/>
      <c r="G89" s="337">
        <f>SUM(E90)</f>
        <v>0</v>
      </c>
      <c r="H89"/>
      <c r="I89" s="123">
        <f t="shared" si="6"/>
        <v>0</v>
      </c>
      <c r="J89" s="334"/>
      <c r="K89" s="49">
        <f>G89*J89</f>
        <v>0</v>
      </c>
      <c r="L89" s="338"/>
    </row>
    <row r="90" spans="1:12" ht="12.75">
      <c r="A90" s="43">
        <v>5</v>
      </c>
      <c r="B90" s="6"/>
      <c r="C90" s="384" t="s">
        <v>396</v>
      </c>
      <c r="D90" t="s">
        <v>902</v>
      </c>
      <c r="E90"/>
      <c r="F90" s="383" t="s">
        <v>23</v>
      </c>
      <c r="G90" s="330">
        <f>SUM(E92)</f>
        <v>72</v>
      </c>
      <c r="H90" s="12"/>
      <c r="I90" s="12">
        <f t="shared" si="6"/>
        <v>0</v>
      </c>
      <c r="J90" s="6"/>
      <c r="K90" s="49">
        <f>G90*J90</f>
        <v>0</v>
      </c>
      <c r="L90" s="338" t="s">
        <v>59</v>
      </c>
    </row>
    <row r="91" spans="1:12" ht="12.75">
      <c r="A91" s="43"/>
      <c r="B91" s="6"/>
      <c r="C91" s="381"/>
      <c r="D91" s="382" t="s">
        <v>905</v>
      </c>
      <c r="E91"/>
      <c r="F91">
        <v>0</v>
      </c>
      <c r="G91" s="330"/>
      <c r="H91" s="379"/>
      <c r="I91" s="12">
        <f t="shared" si="6"/>
        <v>0</v>
      </c>
      <c r="J91" s="6"/>
      <c r="K91" s="49"/>
      <c r="L91" s="1"/>
    </row>
    <row r="92" spans="1:12" ht="12.75">
      <c r="A92" s="43"/>
      <c r="B92" s="6"/>
      <c r="C92" s="381"/>
      <c r="D92" s="51" t="s">
        <v>926</v>
      </c>
      <c r="E92" s="329">
        <f>24*3</f>
        <v>72</v>
      </c>
      <c r="F92"/>
      <c r="G92" s="337">
        <f>SUM(E93)</f>
        <v>0</v>
      </c>
      <c r="H92" s="377"/>
      <c r="I92" s="12">
        <f t="shared" si="6"/>
        <v>0</v>
      </c>
      <c r="J92" s="6"/>
      <c r="K92" s="49"/>
      <c r="L92" s="1"/>
    </row>
    <row r="93" spans="1:12" ht="12.75">
      <c r="A93" s="43">
        <v>6</v>
      </c>
      <c r="B93" s="6"/>
      <c r="C93" s="378" t="s">
        <v>396</v>
      </c>
      <c r="D93" t="s">
        <v>903</v>
      </c>
      <c r="E93"/>
      <c r="F93" s="383" t="s">
        <v>23</v>
      </c>
      <c r="G93" s="330">
        <f>SUM(E95)</f>
        <v>72</v>
      </c>
      <c r="H93" s="12"/>
      <c r="I93" s="12">
        <f aca="true" t="shared" si="7" ref="I93:I101">G93*H93</f>
        <v>0</v>
      </c>
      <c r="J93" s="6"/>
      <c r="K93" s="49"/>
      <c r="L93" s="1" t="s">
        <v>59</v>
      </c>
    </row>
    <row r="94" spans="1:12" ht="12.75">
      <c r="A94" s="43"/>
      <c r="B94" s="6"/>
      <c r="C94" s="381"/>
      <c r="D94" s="382" t="s">
        <v>905</v>
      </c>
      <c r="E94"/>
      <c r="F94">
        <v>0</v>
      </c>
      <c r="G94" s="330"/>
      <c r="H94" s="379"/>
      <c r="I94" s="12">
        <f t="shared" si="7"/>
        <v>0</v>
      </c>
      <c r="J94" s="6"/>
      <c r="K94" s="49"/>
      <c r="L94" s="1"/>
    </row>
    <row r="95" spans="1:12" ht="12.75">
      <c r="A95" s="43"/>
      <c r="B95" s="6"/>
      <c r="C95" s="381"/>
      <c r="D95" s="51" t="s">
        <v>926</v>
      </c>
      <c r="E95" s="329">
        <f>24*3</f>
        <v>72</v>
      </c>
      <c r="F95"/>
      <c r="G95" s="337">
        <f>SUM(E96)</f>
        <v>0</v>
      </c>
      <c r="H95" s="377"/>
      <c r="I95" s="12">
        <f t="shared" si="7"/>
        <v>0</v>
      </c>
      <c r="J95" s="6"/>
      <c r="K95" s="49">
        <f>G95*J95</f>
        <v>0</v>
      </c>
      <c r="L95" s="1"/>
    </row>
    <row r="96" spans="1:12" ht="12.75">
      <c r="A96" s="43">
        <v>7</v>
      </c>
      <c r="B96" s="6"/>
      <c r="C96" s="378" t="s">
        <v>396</v>
      </c>
      <c r="D96" t="s">
        <v>904</v>
      </c>
      <c r="E96"/>
      <c r="F96" s="383" t="s">
        <v>23</v>
      </c>
      <c r="G96" s="330">
        <f>SUM(E98)</f>
        <v>72</v>
      </c>
      <c r="H96" s="12"/>
      <c r="I96" s="12">
        <f t="shared" si="7"/>
        <v>0</v>
      </c>
      <c r="J96" s="6"/>
      <c r="K96" s="49"/>
      <c r="L96" s="1" t="s">
        <v>59</v>
      </c>
    </row>
    <row r="97" spans="1:12" ht="12.75">
      <c r="A97" s="43"/>
      <c r="B97" s="6"/>
      <c r="C97" s="380"/>
      <c r="D97" s="382" t="s">
        <v>905</v>
      </c>
      <c r="E97"/>
      <c r="F97">
        <v>0</v>
      </c>
      <c r="G97" s="330"/>
      <c r="H97" s="379"/>
      <c r="I97" s="12">
        <f t="shared" si="7"/>
        <v>0</v>
      </c>
      <c r="J97" s="6"/>
      <c r="K97" s="49">
        <f>G97*J97</f>
        <v>0</v>
      </c>
      <c r="L97" s="1"/>
    </row>
    <row r="98" spans="1:12" ht="12.75">
      <c r="A98" s="43"/>
      <c r="B98" s="6"/>
      <c r="C98" s="380"/>
      <c r="D98" s="51" t="s">
        <v>926</v>
      </c>
      <c r="E98" s="329">
        <f>24*3</f>
        <v>72</v>
      </c>
      <c r="F98"/>
      <c r="G98" s="337">
        <f>SUM(E99)</f>
        <v>0</v>
      </c>
      <c r="H98" s="377"/>
      <c r="I98" s="12">
        <f t="shared" si="7"/>
        <v>0</v>
      </c>
      <c r="J98" s="6"/>
      <c r="K98" s="49">
        <f>G98*J98</f>
        <v>0</v>
      </c>
      <c r="L98" s="1"/>
    </row>
    <row r="99" spans="1:12" ht="12.75">
      <c r="A99" s="43">
        <v>8</v>
      </c>
      <c r="B99" s="6" t="s">
        <v>346</v>
      </c>
      <c r="C99" s="384" t="s">
        <v>906</v>
      </c>
      <c r="D99" t="s">
        <v>907</v>
      </c>
      <c r="E99"/>
      <c r="F99" s="383" t="s">
        <v>203</v>
      </c>
      <c r="G99" s="330">
        <v>43.2</v>
      </c>
      <c r="H99" s="377"/>
      <c r="I99" s="12">
        <f t="shared" si="7"/>
        <v>0</v>
      </c>
      <c r="J99" s="6"/>
      <c r="K99" s="49">
        <f>G99*J99</f>
        <v>0</v>
      </c>
      <c r="L99" s="1" t="s">
        <v>59</v>
      </c>
    </row>
    <row r="100" spans="1:12" ht="12.75">
      <c r="A100" s="43">
        <v>9</v>
      </c>
      <c r="B100" s="6" t="s">
        <v>346</v>
      </c>
      <c r="C100" s="384" t="s">
        <v>908</v>
      </c>
      <c r="D100" t="s">
        <v>909</v>
      </c>
      <c r="E100"/>
      <c r="F100" s="383" t="s">
        <v>203</v>
      </c>
      <c r="G100" s="330">
        <f>SUM(E103)</f>
        <v>1.669</v>
      </c>
      <c r="H100" s="12"/>
      <c r="I100" s="12">
        <f t="shared" si="7"/>
        <v>0</v>
      </c>
      <c r="J100" s="6"/>
      <c r="K100" s="49">
        <f>G100*J100</f>
        <v>0</v>
      </c>
      <c r="L100" s="1" t="s">
        <v>59</v>
      </c>
    </row>
    <row r="101" spans="1:12" ht="12.75">
      <c r="A101" s="43"/>
      <c r="B101" s="6"/>
      <c r="C101" s="381"/>
      <c r="D101" s="382" t="s">
        <v>899</v>
      </c>
      <c r="E101"/>
      <c r="F101">
        <v>0</v>
      </c>
      <c r="G101" s="330"/>
      <c r="H101" s="379"/>
      <c r="I101" s="12">
        <f t="shared" si="7"/>
        <v>0</v>
      </c>
      <c r="J101" s="6"/>
      <c r="K101" s="49">
        <f>G101*J101</f>
        <v>0</v>
      </c>
      <c r="L101" s="1"/>
    </row>
    <row r="102" spans="1:12" ht="12.75">
      <c r="A102" s="43"/>
      <c r="B102" s="6"/>
      <c r="C102" s="381"/>
      <c r="D102" s="51" t="s">
        <v>900</v>
      </c>
      <c r="E102"/>
      <c r="F102">
        <v>0</v>
      </c>
      <c r="G102" s="330"/>
      <c r="H102" s="377"/>
      <c r="I102" s="12"/>
      <c r="J102" s="6"/>
      <c r="K102" s="49"/>
      <c r="L102" s="1"/>
    </row>
    <row r="103" spans="1:12" ht="12.75">
      <c r="A103" s="43"/>
      <c r="B103" s="6"/>
      <c r="C103" s="381"/>
      <c r="D103" s="51" t="s">
        <v>927</v>
      </c>
      <c r="E103" s="329">
        <f>ROUND(24*1.5*1.5*0.1*3*0.1*1.03,3)</f>
        <v>1.669</v>
      </c>
      <c r="F103"/>
      <c r="G103" s="330"/>
      <c r="H103" s="379"/>
      <c r="I103" s="12"/>
      <c r="J103" s="6"/>
      <c r="K103" s="49"/>
      <c r="L103" s="1"/>
    </row>
    <row r="104" spans="1:12" ht="12.75">
      <c r="A104" s="6"/>
      <c r="B104" s="6"/>
      <c r="C104" s="42"/>
      <c r="D104" s="6"/>
      <c r="E104" s="330"/>
      <c r="F104" s="43"/>
      <c r="G104" s="352" t="s">
        <v>19</v>
      </c>
      <c r="H104" s="62"/>
      <c r="I104" s="63">
        <f>SUM(I79:I103)</f>
        <v>0</v>
      </c>
      <c r="J104" s="76"/>
      <c r="K104" s="357">
        <f>SUM(K79:K103)</f>
        <v>0</v>
      </c>
      <c r="L104" s="77"/>
    </row>
    <row r="105" spans="1:12" ht="13.5" thickBot="1">
      <c r="A105" s="20"/>
      <c r="B105" s="20"/>
      <c r="C105" s="86"/>
      <c r="D105" s="20"/>
      <c r="E105" s="349"/>
      <c r="F105" s="88"/>
      <c r="G105" s="349"/>
      <c r="H105" s="20"/>
      <c r="I105" s="20"/>
      <c r="J105" s="20"/>
      <c r="K105" s="20"/>
      <c r="L105" s="20"/>
    </row>
    <row r="106" spans="1:12" ht="15.75">
      <c r="A106" s="25" t="s">
        <v>25</v>
      </c>
      <c r="B106" s="25"/>
      <c r="C106" s="89"/>
      <c r="D106" s="25"/>
      <c r="E106" s="350"/>
      <c r="F106" s="91"/>
      <c r="G106" s="402">
        <f>I38+I76+I104</f>
        <v>0</v>
      </c>
      <c r="H106" s="402"/>
      <c r="I106" s="402"/>
      <c r="J106" s="90"/>
      <c r="K106" s="90">
        <f>K38+K76+K104</f>
        <v>2.8666742208000002</v>
      </c>
      <c r="L106" s="90"/>
    </row>
    <row r="107" spans="1:12" ht="12.75">
      <c r="A107" s="6"/>
      <c r="B107" s="6"/>
      <c r="C107" s="42"/>
      <c r="D107" s="6"/>
      <c r="E107" s="330"/>
      <c r="F107" s="43"/>
      <c r="G107" s="330"/>
      <c r="H107" s="92" t="s">
        <v>46</v>
      </c>
      <c r="I107" s="376">
        <f>SUM(I10:I105)*0.5</f>
        <v>0</v>
      </c>
      <c r="J107" s="92"/>
      <c r="K107" s="93">
        <f>SUM(K10:K105)*0.5</f>
        <v>2.8666742208000002</v>
      </c>
      <c r="L107" s="1"/>
    </row>
  </sheetData>
  <sheetProtection/>
  <mergeCells count="3">
    <mergeCell ref="A1:L1"/>
    <mergeCell ref="J7:K7"/>
    <mergeCell ref="G106:I106"/>
  </mergeCells>
  <printOptions horizontalCentered="1"/>
  <pageMargins left="0.5905511811023623" right="0.4330708661417323" top="0.5511811023622047" bottom="0.4330708661417323" header="0.3937007874015748" footer="0.3937007874015748"/>
  <pageSetup fitToHeight="0" fitToWidth="1" horizontalDpi="204" verticalDpi="204" orientation="portrait" paperSize="9" scale="61" r:id="rId1"/>
  <headerFooter alignWithMargins="0">
    <oddHeader>&amp;L&amp;9Položky&amp;R&amp;8Strana &amp;P z &amp;N</oddHeader>
  </headerFooter>
  <rowBreaks count="1" manualBreakCount="1">
    <brk id="99" max="11" man="1"/>
  </rowBreaks>
  <colBreaks count="2" manualBreakCount="2">
    <brk id="10" max="105" man="1"/>
    <brk id="11" max="10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8" sqref="A8"/>
      <selection pane="bottomLeft" activeCell="C5" sqref="C5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4" t="s">
        <v>183</v>
      </c>
    </row>
    <row r="5" spans="1:3" ht="12.75">
      <c r="A5" s="3" t="s">
        <v>42</v>
      </c>
      <c r="B5" s="4"/>
      <c r="C5" s="139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97">
        <v>90</v>
      </c>
      <c r="C10" s="2" t="s">
        <v>35</v>
      </c>
      <c r="E10" s="217">
        <f>'P-901'!I32</f>
        <v>0</v>
      </c>
      <c r="F10" s="32"/>
      <c r="G10" s="99">
        <f>'P-901'!K32</f>
        <v>0</v>
      </c>
    </row>
    <row r="11" spans="1:7" ht="13.5" thickBot="1">
      <c r="A11" s="100"/>
      <c r="B11" s="100"/>
      <c r="C11" s="100"/>
      <c r="D11" s="100"/>
      <c r="E11" s="101"/>
      <c r="F11" s="102"/>
      <c r="G11" s="103"/>
    </row>
    <row r="12" ht="12.75">
      <c r="G12" s="99"/>
    </row>
    <row r="13" spans="1:7" s="108" customFormat="1" ht="15">
      <c r="A13" s="104" t="s">
        <v>44</v>
      </c>
      <c r="B13" s="104"/>
      <c r="C13" s="104"/>
      <c r="D13" s="104"/>
      <c r="E13" s="105">
        <f>SUM(E10:E11)</f>
        <v>0</v>
      </c>
      <c r="F13" s="106"/>
      <c r="G13" s="107">
        <f>SUM(G10:G11)</f>
        <v>0</v>
      </c>
    </row>
    <row r="14" spans="1:7" s="109" customFormat="1" ht="15">
      <c r="A14" s="2"/>
      <c r="B14" s="2"/>
      <c r="C14" s="2"/>
      <c r="D14" s="2"/>
      <c r="E14" s="2"/>
      <c r="F14" s="2"/>
      <c r="G14" s="99"/>
    </row>
    <row r="15" ht="12.75">
      <c r="G15" s="99"/>
    </row>
    <row r="16" spans="1:7" ht="15.75">
      <c r="A16" s="110" t="s">
        <v>45</v>
      </c>
      <c r="B16" s="110"/>
      <c r="C16" s="110"/>
      <c r="D16" s="110"/>
      <c r="E16" s="111">
        <f>E13</f>
        <v>0</v>
      </c>
      <c r="F16" s="110"/>
      <c r="G16" s="112"/>
    </row>
    <row r="17" spans="1:7" ht="15">
      <c r="A17" s="109"/>
      <c r="B17" s="109"/>
      <c r="C17" s="109"/>
      <c r="D17" s="109"/>
      <c r="E17" s="113"/>
      <c r="F17" s="113"/>
      <c r="G17" s="109"/>
    </row>
    <row r="18" spans="1:7" ht="15.75">
      <c r="A18" s="110" t="s">
        <v>48</v>
      </c>
      <c r="B18" s="407">
        <v>0.21</v>
      </c>
      <c r="C18" s="407"/>
      <c r="D18" s="109"/>
      <c r="E18" s="114">
        <f>ROUND(E16*B18,1)</f>
        <v>0</v>
      </c>
      <c r="F18" s="113"/>
      <c r="G18" s="109"/>
    </row>
    <row r="19" spans="1:7" ht="15">
      <c r="A19" s="109"/>
      <c r="B19" s="109"/>
      <c r="C19" s="109"/>
      <c r="D19" s="109"/>
      <c r="E19" s="113"/>
      <c r="F19" s="113"/>
      <c r="G19" s="109"/>
    </row>
    <row r="20" spans="1:7" ht="15.75">
      <c r="A20" s="110" t="s">
        <v>30</v>
      </c>
      <c r="B20" s="109"/>
      <c r="C20" s="109"/>
      <c r="D20" s="109"/>
      <c r="E20" s="115">
        <f>SUM(E16:E19)</f>
        <v>0</v>
      </c>
      <c r="F20" s="116"/>
      <c r="G20" s="116"/>
    </row>
    <row r="21" spans="3:5" ht="15">
      <c r="C21" s="218"/>
      <c r="E21" s="374">
        <f>'P-901'!I35</f>
        <v>0</v>
      </c>
    </row>
    <row r="27" ht="12.75">
      <c r="D27" s="375"/>
    </row>
  </sheetData>
  <sheetProtection/>
  <mergeCells count="2">
    <mergeCell ref="A1:G1"/>
    <mergeCell ref="B18:C18"/>
  </mergeCells>
  <conditionalFormatting sqref="E16">
    <cfRule type="cellIs" priority="1" dxfId="2" operator="notEqual" stopIfTrue="1">
      <formula>$E$21</formula>
    </cfRule>
  </conditionalFormatting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Zeros="0" view="pageBreakPreview" zoomScaleSheetLayoutView="100" zoomScalePageLayoutView="0" workbookViewId="0" topLeftCell="A1">
      <pane ySplit="8" topLeftCell="A9" activePane="bottomLeft" state="frozen"/>
      <selection pane="topLeft" activeCell="A8" sqref="A8"/>
      <selection pane="bottomLeft" activeCell="I19" sqref="I19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2" bestFit="1" customWidth="1"/>
    <col min="6" max="6" width="6.625" style="33" bestFit="1" customWidth="1"/>
    <col min="7" max="7" width="10.125" style="2" customWidth="1"/>
    <col min="8" max="8" width="10.25390625" style="2" bestFit="1" customWidth="1"/>
    <col min="9" max="9" width="12.625" style="2" customWidth="1"/>
    <col min="10" max="10" width="9.25390625" style="2" bestFit="1" customWidth="1"/>
    <col min="11" max="11" width="11.625" style="2" customWidth="1"/>
    <col min="12" max="12" width="6.75390625" style="34" customWidth="1"/>
    <col min="13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183</v>
      </c>
      <c r="J4" s="36" t="s">
        <v>54</v>
      </c>
      <c r="K4" s="2" t="s">
        <v>184</v>
      </c>
    </row>
    <row r="5" spans="1:11" ht="12.75">
      <c r="A5" s="3" t="s">
        <v>42</v>
      </c>
      <c r="B5" s="4"/>
      <c r="C5" s="139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8"/>
      <c r="G7" s="33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41"/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/>
      <c r="B9" s="6"/>
      <c r="C9" s="42"/>
      <c r="D9" s="6"/>
      <c r="E9" s="12"/>
      <c r="F9" s="43"/>
      <c r="G9" s="6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36</v>
      </c>
      <c r="D10" s="45"/>
      <c r="E10" s="46"/>
      <c r="F10" s="6"/>
      <c r="G10" s="6"/>
      <c r="H10" s="6"/>
      <c r="I10" s="6"/>
      <c r="J10" s="6"/>
      <c r="K10" s="6"/>
      <c r="L10" s="1"/>
    </row>
    <row r="11" spans="1:12" ht="6" customHeight="1">
      <c r="A11" s="47" t="s">
        <v>37</v>
      </c>
      <c r="B11" s="45"/>
      <c r="C11" s="16"/>
      <c r="D11" s="45"/>
      <c r="E11" s="46"/>
      <c r="F11" s="6"/>
      <c r="G11" s="6"/>
      <c r="H11" s="6"/>
      <c r="I11" s="6"/>
      <c r="J11" s="6"/>
      <c r="K11" s="6"/>
      <c r="L11" s="1"/>
    </row>
    <row r="12" spans="1:12" ht="12.75">
      <c r="A12" s="43">
        <v>1</v>
      </c>
      <c r="B12" s="6"/>
      <c r="C12" s="6"/>
      <c r="D12" s="219" t="s">
        <v>185</v>
      </c>
      <c r="E12" s="220"/>
      <c r="F12" s="43" t="s">
        <v>23</v>
      </c>
      <c r="G12" s="359">
        <v>20</v>
      </c>
      <c r="H12" s="221"/>
      <c r="I12" s="12">
        <f>G12*H12</f>
        <v>0</v>
      </c>
      <c r="J12" s="49"/>
      <c r="K12" s="68">
        <f>G12*J12</f>
        <v>0</v>
      </c>
      <c r="L12" s="1" t="s">
        <v>59</v>
      </c>
    </row>
    <row r="13" spans="1:12" ht="25.5" customHeight="1">
      <c r="A13" s="43"/>
      <c r="B13" s="6"/>
      <c r="C13" s="6"/>
      <c r="D13" s="411" t="s">
        <v>911</v>
      </c>
      <c r="E13" s="411"/>
      <c r="F13" s="43"/>
      <c r="G13" s="359"/>
      <c r="H13" s="221"/>
      <c r="I13" s="12"/>
      <c r="J13" s="49"/>
      <c r="K13" s="68"/>
      <c r="L13" s="1"/>
    </row>
    <row r="14" spans="1:12" ht="12.75">
      <c r="A14" s="43">
        <v>2</v>
      </c>
      <c r="B14" s="6"/>
      <c r="C14" s="6"/>
      <c r="D14" s="219" t="s">
        <v>186</v>
      </c>
      <c r="E14" s="220"/>
      <c r="F14" s="43" t="s">
        <v>23</v>
      </c>
      <c r="G14" s="359">
        <v>24</v>
      </c>
      <c r="H14" s="221"/>
      <c r="I14" s="12">
        <f aca="true" t="shared" si="0" ref="I14:I26">G14*H14</f>
        <v>0</v>
      </c>
      <c r="J14" s="49"/>
      <c r="K14" s="68"/>
      <c r="L14" s="1" t="s">
        <v>59</v>
      </c>
    </row>
    <row r="15" spans="1:12" ht="25.5" customHeight="1">
      <c r="A15" s="43"/>
      <c r="B15" s="6"/>
      <c r="C15" s="6"/>
      <c r="D15" s="411" t="s">
        <v>922</v>
      </c>
      <c r="E15" s="411"/>
      <c r="F15" s="43"/>
      <c r="G15" s="359"/>
      <c r="H15" s="221"/>
      <c r="I15" s="12"/>
      <c r="J15" s="49"/>
      <c r="K15" s="68"/>
      <c r="L15" s="1"/>
    </row>
    <row r="16" spans="1:15" ht="12.75">
      <c r="A16" s="43">
        <v>3</v>
      </c>
      <c r="B16" s="6"/>
      <c r="C16" s="6"/>
      <c r="D16" s="219" t="s">
        <v>913</v>
      </c>
      <c r="E16" s="220"/>
      <c r="F16" s="43" t="s">
        <v>23</v>
      </c>
      <c r="G16" s="359">
        <v>13</v>
      </c>
      <c r="H16" s="221"/>
      <c r="I16" s="12">
        <f t="shared" si="0"/>
        <v>0</v>
      </c>
      <c r="J16" s="49"/>
      <c r="K16" s="68"/>
      <c r="L16" s="1" t="s">
        <v>59</v>
      </c>
      <c r="M16" s="363"/>
      <c r="O16" s="363"/>
    </row>
    <row r="17" spans="1:12" ht="25.5" customHeight="1">
      <c r="A17" s="43"/>
      <c r="B17" s="6"/>
      <c r="C17" s="6"/>
      <c r="D17" s="411" t="s">
        <v>912</v>
      </c>
      <c r="E17" s="411"/>
      <c r="F17" s="43"/>
      <c r="G17" s="359"/>
      <c r="H17" s="221"/>
      <c r="I17" s="12"/>
      <c r="J17" s="49"/>
      <c r="K17" s="68"/>
      <c r="L17" s="1"/>
    </row>
    <row r="18" spans="1:12" ht="12.75">
      <c r="A18" s="43">
        <v>4</v>
      </c>
      <c r="B18" s="6"/>
      <c r="C18" s="6"/>
      <c r="D18" s="219" t="s">
        <v>914</v>
      </c>
      <c r="E18" s="220"/>
      <c r="F18" s="43" t="s">
        <v>23</v>
      </c>
      <c r="G18" s="359">
        <v>3</v>
      </c>
      <c r="H18" s="221"/>
      <c r="I18" s="12">
        <f>G18*H18</f>
        <v>0</v>
      </c>
      <c r="J18" s="49"/>
      <c r="K18" s="68"/>
      <c r="L18" s="1" t="s">
        <v>59</v>
      </c>
    </row>
    <row r="19" spans="1:12" ht="12.75">
      <c r="A19" s="43"/>
      <c r="B19" s="6"/>
      <c r="C19" s="6"/>
      <c r="D19" s="411" t="s">
        <v>912</v>
      </c>
      <c r="E19" s="411"/>
      <c r="F19" s="43"/>
      <c r="G19" s="359"/>
      <c r="H19" s="221"/>
      <c r="I19" s="12"/>
      <c r="J19" s="49"/>
      <c r="K19" s="68"/>
      <c r="L19" s="1"/>
    </row>
    <row r="20" spans="1:12" ht="12.75">
      <c r="A20" s="43">
        <v>5</v>
      </c>
      <c r="B20" s="6"/>
      <c r="C20" s="42"/>
      <c r="D20" s="219" t="s">
        <v>187</v>
      </c>
      <c r="E20" s="220"/>
      <c r="F20" s="43" t="s">
        <v>23</v>
      </c>
      <c r="G20" s="359">
        <v>1</v>
      </c>
      <c r="H20" s="221"/>
      <c r="I20" s="12">
        <f t="shared" si="0"/>
        <v>0</v>
      </c>
      <c r="J20" s="49"/>
      <c r="K20" s="68">
        <f>G20*J20</f>
        <v>0</v>
      </c>
      <c r="L20" s="1" t="s">
        <v>59</v>
      </c>
    </row>
    <row r="21" spans="1:12" ht="25.5" customHeight="1">
      <c r="A21" s="43"/>
      <c r="B21" s="6"/>
      <c r="C21" s="42"/>
      <c r="D21" s="411" t="s">
        <v>915</v>
      </c>
      <c r="E21" s="411"/>
      <c r="F21" s="43"/>
      <c r="G21" s="359"/>
      <c r="H21" s="221"/>
      <c r="I21" s="12"/>
      <c r="J21" s="49"/>
      <c r="K21" s="68"/>
      <c r="L21" s="1"/>
    </row>
    <row r="22" spans="1:12" ht="12.75">
      <c r="A22" s="43">
        <v>6</v>
      </c>
      <c r="B22" s="6"/>
      <c r="C22" s="42"/>
      <c r="D22" s="219" t="s">
        <v>188</v>
      </c>
      <c r="E22" s="220"/>
      <c r="F22" s="43" t="s">
        <v>23</v>
      </c>
      <c r="G22" s="359">
        <v>49</v>
      </c>
      <c r="H22" s="221"/>
      <c r="I22" s="12">
        <f t="shared" si="0"/>
        <v>0</v>
      </c>
      <c r="J22" s="49"/>
      <c r="K22" s="68"/>
      <c r="L22" s="1" t="s">
        <v>59</v>
      </c>
    </row>
    <row r="23" spans="1:12" ht="25.5" customHeight="1">
      <c r="A23" s="43"/>
      <c r="B23" s="6"/>
      <c r="C23" s="120"/>
      <c r="D23" s="411" t="s">
        <v>916</v>
      </c>
      <c r="E23" s="411"/>
      <c r="F23" s="43"/>
      <c r="G23" s="359"/>
      <c r="H23" s="221"/>
      <c r="I23" s="12"/>
      <c r="J23" s="49"/>
      <c r="K23" s="68"/>
      <c r="L23" s="1"/>
    </row>
    <row r="24" spans="1:12" ht="12.75">
      <c r="A24" s="43">
        <v>7</v>
      </c>
      <c r="B24" s="6"/>
      <c r="C24" s="6"/>
      <c r="D24" s="219" t="s">
        <v>189</v>
      </c>
      <c r="E24" s="220"/>
      <c r="F24" s="43" t="s">
        <v>23</v>
      </c>
      <c r="G24" s="359">
        <v>8</v>
      </c>
      <c r="H24" s="221"/>
      <c r="I24" s="12">
        <f t="shared" si="0"/>
        <v>0</v>
      </c>
      <c r="J24" s="49"/>
      <c r="K24" s="68">
        <f>G24*J24</f>
        <v>0</v>
      </c>
      <c r="L24" s="1" t="s">
        <v>59</v>
      </c>
    </row>
    <row r="25" spans="1:12" ht="38.25" customHeight="1">
      <c r="A25" s="43"/>
      <c r="B25" s="6"/>
      <c r="C25" s="6"/>
      <c r="D25" s="411" t="s">
        <v>917</v>
      </c>
      <c r="E25" s="411"/>
      <c r="F25" s="43"/>
      <c r="G25" s="359"/>
      <c r="H25" s="221"/>
      <c r="I25" s="12"/>
      <c r="J25" s="49"/>
      <c r="K25" s="68"/>
      <c r="L25" s="1"/>
    </row>
    <row r="26" spans="1:12" ht="12.75">
      <c r="A26" s="43">
        <v>8</v>
      </c>
      <c r="B26" s="6"/>
      <c r="C26" s="6"/>
      <c r="D26" s="222" t="s">
        <v>190</v>
      </c>
      <c r="E26" s="223"/>
      <c r="F26" s="85" t="s">
        <v>23</v>
      </c>
      <c r="G26" s="360">
        <v>3</v>
      </c>
      <c r="H26" s="224"/>
      <c r="I26" s="12">
        <f t="shared" si="0"/>
        <v>0</v>
      </c>
      <c r="J26" s="49"/>
      <c r="K26" s="68"/>
      <c r="L26" s="1" t="s">
        <v>59</v>
      </c>
    </row>
    <row r="27" spans="1:12" ht="12.75">
      <c r="A27" s="43"/>
      <c r="B27" s="6"/>
      <c r="C27" s="6"/>
      <c r="D27" s="411" t="s">
        <v>918</v>
      </c>
      <c r="E27" s="411"/>
      <c r="F27" s="85"/>
      <c r="G27" s="360"/>
      <c r="H27" s="224"/>
      <c r="I27" s="12"/>
      <c r="J27" s="49"/>
      <c r="K27" s="68"/>
      <c r="L27" s="1"/>
    </row>
    <row r="28" spans="1:12" ht="12.75">
      <c r="A28" s="43">
        <v>9</v>
      </c>
      <c r="B28" s="6"/>
      <c r="C28" s="6"/>
      <c r="D28" s="222" t="s">
        <v>191</v>
      </c>
      <c r="E28" s="223"/>
      <c r="F28" s="85" t="s">
        <v>23</v>
      </c>
      <c r="G28" s="360">
        <v>1</v>
      </c>
      <c r="H28" s="224"/>
      <c r="I28" s="12">
        <f>G28*H28</f>
        <v>0</v>
      </c>
      <c r="J28" s="49"/>
      <c r="K28" s="68"/>
      <c r="L28" s="1" t="s">
        <v>59</v>
      </c>
    </row>
    <row r="29" spans="1:12" ht="12.75">
      <c r="A29" s="43"/>
      <c r="B29" s="6"/>
      <c r="C29" s="6"/>
      <c r="D29" s="411" t="s">
        <v>919</v>
      </c>
      <c r="E29" s="411"/>
      <c r="F29" s="85"/>
      <c r="G29" s="360"/>
      <c r="H29" s="224"/>
      <c r="I29" s="12"/>
      <c r="J29" s="49"/>
      <c r="K29" s="68"/>
      <c r="L29" s="1"/>
    </row>
    <row r="30" spans="1:12" ht="12.75">
      <c r="A30" s="43">
        <v>10</v>
      </c>
      <c r="B30" s="6"/>
      <c r="C30" s="6"/>
      <c r="D30" s="222" t="s">
        <v>192</v>
      </c>
      <c r="E30" s="223"/>
      <c r="F30" s="85" t="s">
        <v>23</v>
      </c>
      <c r="G30" s="360">
        <v>1</v>
      </c>
      <c r="H30" s="224"/>
      <c r="I30" s="12">
        <f>G30*H30</f>
        <v>0</v>
      </c>
      <c r="J30" s="49"/>
      <c r="K30" s="68"/>
      <c r="L30" s="1" t="s">
        <v>59</v>
      </c>
    </row>
    <row r="31" spans="1:12" ht="12.75">
      <c r="A31" s="43"/>
      <c r="B31" s="6"/>
      <c r="C31" s="6"/>
      <c r="D31" s="411" t="s">
        <v>919</v>
      </c>
      <c r="E31" s="411"/>
      <c r="F31" s="85"/>
      <c r="G31" s="360"/>
      <c r="H31" s="224"/>
      <c r="I31" s="12"/>
      <c r="J31" s="49"/>
      <c r="K31" s="68"/>
      <c r="L31" s="1"/>
    </row>
    <row r="32" spans="1:12" ht="12.75">
      <c r="A32" s="6"/>
      <c r="B32" s="6"/>
      <c r="C32" s="42"/>
      <c r="D32" s="6"/>
      <c r="E32" s="12"/>
      <c r="F32" s="43"/>
      <c r="G32" s="61" t="s">
        <v>19</v>
      </c>
      <c r="H32" s="62"/>
      <c r="I32" s="63">
        <f>SUM(I12:I31)</f>
        <v>0</v>
      </c>
      <c r="J32" s="76"/>
      <c r="K32" s="63">
        <f>SUM(K12:K26)</f>
        <v>0</v>
      </c>
      <c r="L32" s="77">
        <f>SUM(L12:L26)</f>
        <v>0</v>
      </c>
    </row>
    <row r="33" spans="1:12" ht="13.5" thickBot="1">
      <c r="A33" s="20"/>
      <c r="B33" s="20"/>
      <c r="C33" s="86"/>
      <c r="D33" s="20"/>
      <c r="E33" s="87"/>
      <c r="F33" s="88"/>
      <c r="G33" s="20"/>
      <c r="H33" s="20"/>
      <c r="I33" s="20"/>
      <c r="J33" s="20"/>
      <c r="K33" s="20"/>
      <c r="L33" s="20"/>
    </row>
    <row r="34" spans="1:12" ht="15.75">
      <c r="A34" s="25" t="s">
        <v>25</v>
      </c>
      <c r="B34" s="25"/>
      <c r="C34" s="89"/>
      <c r="D34" s="25"/>
      <c r="E34" s="90"/>
      <c r="F34" s="91"/>
      <c r="G34" s="402">
        <f>I32</f>
        <v>0</v>
      </c>
      <c r="H34" s="402"/>
      <c r="I34" s="402"/>
      <c r="J34" s="90"/>
      <c r="K34" s="90">
        <f>K32</f>
        <v>0</v>
      </c>
      <c r="L34" s="90"/>
    </row>
    <row r="35" spans="1:12" ht="12.75">
      <c r="A35" s="6"/>
      <c r="B35" s="6"/>
      <c r="C35" s="42"/>
      <c r="D35" s="6"/>
      <c r="E35" s="12"/>
      <c r="F35" s="43"/>
      <c r="G35" s="6"/>
      <c r="H35" s="92" t="s">
        <v>46</v>
      </c>
      <c r="I35" s="93">
        <f>SUM(I10:I33)*0.5</f>
        <v>0</v>
      </c>
      <c r="J35" s="92"/>
      <c r="K35" s="93">
        <f>SUM(K10:K33)*0.5</f>
        <v>0</v>
      </c>
      <c r="L35" s="1"/>
    </row>
    <row r="36" spans="1:12" ht="12.75">
      <c r="A36" s="6"/>
      <c r="B36" s="6"/>
      <c r="C36" s="42"/>
      <c r="D36" s="372"/>
      <c r="E36" s="12"/>
      <c r="F36" s="43"/>
      <c r="G36" s="94"/>
      <c r="H36" s="6"/>
      <c r="I36" s="6"/>
      <c r="J36" s="6"/>
      <c r="K36" s="6"/>
      <c r="L36" s="1"/>
    </row>
    <row r="37" spans="1:12" ht="12.75">
      <c r="A37" s="6"/>
      <c r="B37" s="6"/>
      <c r="C37" s="42"/>
      <c r="D37" s="372"/>
      <c r="E37" s="12"/>
      <c r="F37" s="43"/>
      <c r="G37" s="6"/>
      <c r="H37" s="12"/>
      <c r="I37" s="6"/>
      <c r="J37" s="6"/>
      <c r="K37" s="6"/>
      <c r="L37" s="1"/>
    </row>
    <row r="38" spans="1:12" ht="12.75">
      <c r="A38" s="6"/>
      <c r="B38" s="6"/>
      <c r="C38" s="42"/>
      <c r="D38" s="6"/>
      <c r="E38" s="12"/>
      <c r="F38" s="43"/>
      <c r="G38" s="6"/>
      <c r="H38" s="6"/>
      <c r="I38" s="12"/>
      <c r="J38" s="6"/>
      <c r="K38" s="6"/>
      <c r="L38" s="1"/>
    </row>
    <row r="39" spans="1:12" ht="12.75">
      <c r="A39" s="6"/>
      <c r="B39" s="6"/>
      <c r="C39" s="42"/>
      <c r="D39" s="6"/>
      <c r="E39" s="12"/>
      <c r="F39" s="43"/>
      <c r="G39" s="6"/>
      <c r="H39" s="6"/>
      <c r="I39" s="6"/>
      <c r="J39" s="6"/>
      <c r="K39" s="6"/>
      <c r="L39" s="1"/>
    </row>
    <row r="40" spans="1:12" ht="12.75">
      <c r="A40" s="6"/>
      <c r="B40" s="6"/>
      <c r="C40" s="42"/>
      <c r="D40" s="6"/>
      <c r="E40" s="12"/>
      <c r="F40" s="43"/>
      <c r="G40" s="6"/>
      <c r="H40" s="6"/>
      <c r="I40" s="6"/>
      <c r="J40" s="6"/>
      <c r="K40" s="6"/>
      <c r="L40" s="1"/>
    </row>
    <row r="41" spans="1:12" ht="12.75">
      <c r="A41" s="6"/>
      <c r="B41" s="6"/>
      <c r="C41" s="42"/>
      <c r="D41" s="6"/>
      <c r="E41" s="12"/>
      <c r="F41" s="43"/>
      <c r="G41" s="6"/>
      <c r="H41" s="6"/>
      <c r="I41" s="6"/>
      <c r="J41" s="6"/>
      <c r="K41" s="6"/>
      <c r="L41" s="1"/>
    </row>
    <row r="42" spans="1:12" ht="12.75">
      <c r="A42" s="6"/>
      <c r="B42" s="6"/>
      <c r="C42" s="42"/>
      <c r="D42" s="6"/>
      <c r="E42" s="12"/>
      <c r="F42" s="43"/>
      <c r="G42" s="6"/>
      <c r="H42" s="6"/>
      <c r="I42" s="6"/>
      <c r="J42" s="6"/>
      <c r="K42" s="6"/>
      <c r="L42" s="1"/>
    </row>
    <row r="43" spans="1:12" ht="12.75">
      <c r="A43" s="6"/>
      <c r="B43" s="6"/>
      <c r="C43" s="42"/>
      <c r="D43" s="6"/>
      <c r="E43" s="12"/>
      <c r="F43" s="43"/>
      <c r="G43" s="6"/>
      <c r="H43" s="6"/>
      <c r="I43" s="6"/>
      <c r="J43" s="6"/>
      <c r="K43" s="6"/>
      <c r="L43" s="1"/>
    </row>
    <row r="44" spans="1:12" ht="12.75">
      <c r="A44" s="6"/>
      <c r="B44" s="6"/>
      <c r="C44" s="42"/>
      <c r="D44" s="6"/>
      <c r="E44" s="12"/>
      <c r="F44" s="43"/>
      <c r="G44" s="6"/>
      <c r="H44" s="6"/>
      <c r="I44" s="6"/>
      <c r="J44" s="6"/>
      <c r="K44" s="6"/>
      <c r="L44" s="1"/>
    </row>
    <row r="45" spans="1:12" ht="12.75">
      <c r="A45" s="6"/>
      <c r="B45" s="6"/>
      <c r="C45" s="42"/>
      <c r="D45" s="6"/>
      <c r="E45" s="12"/>
      <c r="F45" s="43"/>
      <c r="G45" s="6"/>
      <c r="H45" s="6"/>
      <c r="I45" s="6"/>
      <c r="J45" s="6"/>
      <c r="K45" s="6"/>
      <c r="L45" s="1"/>
    </row>
    <row r="46" spans="1:12" ht="12.75">
      <c r="A46" s="6"/>
      <c r="B46" s="6"/>
      <c r="C46" s="42"/>
      <c r="D46" s="6"/>
      <c r="E46" s="12"/>
      <c r="F46" s="43"/>
      <c r="G46" s="6"/>
      <c r="H46" s="6"/>
      <c r="I46" s="6"/>
      <c r="J46" s="6"/>
      <c r="K46" s="6"/>
      <c r="L46" s="1"/>
    </row>
  </sheetData>
  <sheetProtection/>
  <mergeCells count="13">
    <mergeCell ref="D19:E19"/>
    <mergeCell ref="D29:E29"/>
    <mergeCell ref="D31:E31"/>
    <mergeCell ref="A1:L1"/>
    <mergeCell ref="J7:K7"/>
    <mergeCell ref="G34:I34"/>
    <mergeCell ref="D13:E13"/>
    <mergeCell ref="D15:E15"/>
    <mergeCell ref="D17:E17"/>
    <mergeCell ref="D21:E21"/>
    <mergeCell ref="D23:E23"/>
    <mergeCell ref="D25:E25"/>
    <mergeCell ref="D27:E27"/>
  </mergeCells>
  <printOptions horizontalCentered="1"/>
  <pageMargins left="0.5905511811023623" right="0.44" top="0.56" bottom="0.44" header="0.41" footer="0.4"/>
  <pageSetup fitToHeight="0" fitToWidth="1" horizontalDpi="204" verticalDpi="204" orientation="portrait" paperSize="9" scale="61" r:id="rId1"/>
  <headerFooter alignWithMargins="0">
    <oddHeader>&amp;L&amp;9Položky&amp;R&amp;8Strana &amp;P z &amp;N</oddHeader>
  </headerFooter>
  <colBreaks count="2" manualBreakCount="2">
    <brk id="10" max="193" man="1"/>
    <brk id="11" max="18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D6" sqref="AD6"/>
    </sheetView>
  </sheetViews>
  <sheetFormatPr defaultColWidth="9.00390625" defaultRowHeight="14.25" customHeight="1"/>
  <cols>
    <col min="1" max="1" width="7.125" style="238" customWidth="1"/>
    <col min="2" max="2" width="1.37890625" style="238" customWidth="1"/>
    <col min="3" max="3" width="3.625" style="238" customWidth="1"/>
    <col min="4" max="4" width="3.75390625" style="238" customWidth="1"/>
    <col min="5" max="5" width="14.75390625" style="238" customWidth="1"/>
    <col min="6" max="7" width="9.625" style="238" customWidth="1"/>
    <col min="8" max="8" width="10.75390625" style="238" customWidth="1"/>
    <col min="9" max="9" width="6.00390625" style="238" customWidth="1"/>
    <col min="10" max="10" width="4.375" style="238" customWidth="1"/>
    <col min="11" max="11" width="9.875" style="238" customWidth="1"/>
    <col min="12" max="12" width="10.25390625" style="238" customWidth="1"/>
    <col min="13" max="14" width="5.125" style="238" customWidth="1"/>
    <col min="15" max="15" width="1.75390625" style="238" customWidth="1"/>
    <col min="16" max="16" width="10.75390625" style="238" customWidth="1"/>
    <col min="17" max="17" width="3.625" style="238" customWidth="1"/>
    <col min="18" max="18" width="1.37890625" style="238" customWidth="1"/>
    <col min="19" max="19" width="7.00390625" style="238" customWidth="1"/>
    <col min="20" max="20" width="25.375" style="238" hidden="1" customWidth="1"/>
    <col min="21" max="21" width="14.00390625" style="238" hidden="1" customWidth="1"/>
    <col min="22" max="22" width="10.625" style="238" hidden="1" customWidth="1"/>
    <col min="23" max="23" width="14.00390625" style="238" hidden="1" customWidth="1"/>
    <col min="24" max="24" width="10.375" style="238" hidden="1" customWidth="1"/>
    <col min="25" max="25" width="12.875" style="238" hidden="1" customWidth="1"/>
    <col min="26" max="26" width="9.375" style="238" hidden="1" customWidth="1"/>
    <col min="27" max="27" width="12.875" style="238" hidden="1" customWidth="1"/>
    <col min="28" max="28" width="14.00390625" style="238" hidden="1" customWidth="1"/>
    <col min="29" max="29" width="9.375" style="238" customWidth="1"/>
    <col min="30" max="30" width="12.875" style="238" customWidth="1"/>
    <col min="31" max="31" width="14.00390625" style="238" customWidth="1"/>
    <col min="32" max="43" width="9.00390625" style="239" customWidth="1"/>
    <col min="44" max="64" width="9.00390625" style="238" hidden="1" customWidth="1"/>
    <col min="65" max="16384" width="9.00390625" style="239" customWidth="1"/>
  </cols>
  <sheetData>
    <row r="1" spans="1:256" s="237" customFormat="1" ht="22.5" customHeight="1">
      <c r="A1" s="232"/>
      <c r="B1" s="233"/>
      <c r="C1" s="233"/>
      <c r="D1" s="234" t="s">
        <v>248</v>
      </c>
      <c r="E1" s="233"/>
      <c r="F1" s="235" t="s">
        <v>249</v>
      </c>
      <c r="G1" s="235"/>
      <c r="H1" s="412" t="s">
        <v>250</v>
      </c>
      <c r="I1" s="412"/>
      <c r="J1" s="412"/>
      <c r="K1" s="412"/>
      <c r="L1" s="235" t="s">
        <v>251</v>
      </c>
      <c r="M1" s="233"/>
      <c r="N1" s="233"/>
      <c r="O1" s="234" t="s">
        <v>252</v>
      </c>
      <c r="P1" s="233"/>
      <c r="Q1" s="233"/>
      <c r="R1" s="233"/>
      <c r="S1" s="235" t="s">
        <v>253</v>
      </c>
      <c r="T1" s="235"/>
      <c r="U1" s="232"/>
      <c r="V1" s="232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3:56" s="238" customFormat="1" ht="37.5" customHeight="1">
      <c r="C2" s="413" t="s">
        <v>254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S2" s="415" t="s">
        <v>255</v>
      </c>
      <c r="T2" s="414"/>
      <c r="U2" s="414"/>
      <c r="V2" s="414"/>
      <c r="W2" s="414"/>
      <c r="X2" s="414"/>
      <c r="Y2" s="414"/>
      <c r="Z2" s="414"/>
      <c r="AA2" s="414"/>
      <c r="AB2" s="414"/>
      <c r="AC2" s="414"/>
      <c r="AT2" s="238" t="s">
        <v>256</v>
      </c>
      <c r="AZ2" s="240" t="s">
        <v>257</v>
      </c>
      <c r="BA2" s="240" t="s">
        <v>258</v>
      </c>
      <c r="BB2" s="240" t="s">
        <v>229</v>
      </c>
      <c r="BC2" s="240" t="s">
        <v>259</v>
      </c>
      <c r="BD2" s="240" t="s">
        <v>260</v>
      </c>
    </row>
    <row r="3" spans="2:56" s="238" customFormat="1" ht="7.5" customHeigh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  <c r="AT3" s="238" t="s">
        <v>260</v>
      </c>
      <c r="AZ3" s="240" t="s">
        <v>261</v>
      </c>
      <c r="BA3" s="240" t="s">
        <v>262</v>
      </c>
      <c r="BB3" s="240" t="s">
        <v>229</v>
      </c>
      <c r="BC3" s="240" t="s">
        <v>263</v>
      </c>
      <c r="BD3" s="240" t="s">
        <v>260</v>
      </c>
    </row>
    <row r="4" spans="2:56" s="238" customFormat="1" ht="37.5" customHeight="1">
      <c r="B4" s="244"/>
      <c r="C4" s="416" t="s">
        <v>264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245"/>
      <c r="T4" s="246" t="s">
        <v>265</v>
      </c>
      <c r="AT4" s="238" t="s">
        <v>266</v>
      </c>
      <c r="AZ4" s="240" t="s">
        <v>267</v>
      </c>
      <c r="BA4" s="240" t="s">
        <v>268</v>
      </c>
      <c r="BB4" s="240" t="s">
        <v>229</v>
      </c>
      <c r="BC4" s="240" t="s">
        <v>269</v>
      </c>
      <c r="BD4" s="240" t="s">
        <v>260</v>
      </c>
    </row>
    <row r="5" spans="2:56" s="238" customFormat="1" ht="7.5" customHeight="1">
      <c r="B5" s="244"/>
      <c r="R5" s="245"/>
      <c r="AZ5" s="240" t="s">
        <v>270</v>
      </c>
      <c r="BA5" s="240" t="s">
        <v>271</v>
      </c>
      <c r="BB5" s="240" t="s">
        <v>272</v>
      </c>
      <c r="BC5" s="240" t="s">
        <v>273</v>
      </c>
      <c r="BD5" s="240" t="s">
        <v>260</v>
      </c>
    </row>
    <row r="6" spans="2:56" s="240" customFormat="1" ht="37.5" customHeight="1">
      <c r="B6" s="247"/>
      <c r="D6" s="248" t="s">
        <v>21</v>
      </c>
      <c r="F6" s="417" t="s">
        <v>274</v>
      </c>
      <c r="G6" s="418"/>
      <c r="H6" s="418"/>
      <c r="I6" s="418"/>
      <c r="J6" s="418"/>
      <c r="K6" s="418"/>
      <c r="L6" s="418"/>
      <c r="M6" s="418"/>
      <c r="N6" s="418"/>
      <c r="O6" s="418"/>
      <c r="P6" s="418"/>
      <c r="R6" s="249"/>
      <c r="AZ6" s="240" t="s">
        <v>275</v>
      </c>
      <c r="BA6" s="240" t="s">
        <v>276</v>
      </c>
      <c r="BB6" s="240" t="s">
        <v>277</v>
      </c>
      <c r="BC6" s="240" t="s">
        <v>278</v>
      </c>
      <c r="BD6" s="240" t="s">
        <v>260</v>
      </c>
    </row>
    <row r="7" spans="2:56" s="240" customFormat="1" ht="15" customHeight="1">
      <c r="B7" s="247"/>
      <c r="D7" s="250" t="s">
        <v>54</v>
      </c>
      <c r="F7" s="251"/>
      <c r="M7" s="250" t="s">
        <v>279</v>
      </c>
      <c r="O7" s="251"/>
      <c r="R7" s="249"/>
      <c r="AZ7" s="240" t="s">
        <v>280</v>
      </c>
      <c r="BA7" s="240" t="s">
        <v>281</v>
      </c>
      <c r="BB7" s="240" t="s">
        <v>140</v>
      </c>
      <c r="BC7" s="240" t="s">
        <v>282</v>
      </c>
      <c r="BD7" s="240" t="s">
        <v>260</v>
      </c>
    </row>
    <row r="8" spans="2:56" s="240" customFormat="1" ht="15" customHeight="1">
      <c r="B8" s="247"/>
      <c r="D8" s="250" t="s">
        <v>283</v>
      </c>
      <c r="F8" s="251" t="s">
        <v>272</v>
      </c>
      <c r="M8" s="250" t="s">
        <v>284</v>
      </c>
      <c r="O8" s="419">
        <v>41522</v>
      </c>
      <c r="P8" s="418"/>
      <c r="R8" s="249"/>
      <c r="AZ8" s="240" t="s">
        <v>285</v>
      </c>
      <c r="BA8" s="240" t="s">
        <v>286</v>
      </c>
      <c r="BB8" s="240" t="s">
        <v>229</v>
      </c>
      <c r="BC8" s="240" t="s">
        <v>287</v>
      </c>
      <c r="BD8" s="240" t="s">
        <v>260</v>
      </c>
    </row>
    <row r="9" spans="2:18" s="240" customFormat="1" ht="12" customHeight="1">
      <c r="B9" s="247"/>
      <c r="R9" s="249"/>
    </row>
    <row r="10" spans="2:18" s="240" customFormat="1" ht="15" customHeight="1">
      <c r="B10" s="247"/>
      <c r="D10" s="250" t="s">
        <v>288</v>
      </c>
      <c r="M10" s="250" t="s">
        <v>289</v>
      </c>
      <c r="O10" s="420"/>
      <c r="P10" s="418"/>
      <c r="R10" s="249"/>
    </row>
    <row r="11" spans="2:18" s="240" customFormat="1" ht="18.75" customHeight="1">
      <c r="B11" s="247"/>
      <c r="E11" s="251" t="s">
        <v>290</v>
      </c>
      <c r="M11" s="250" t="s">
        <v>291</v>
      </c>
      <c r="O11" s="420"/>
      <c r="P11" s="418"/>
      <c r="R11" s="249"/>
    </row>
    <row r="12" spans="2:18" s="240" customFormat="1" ht="7.5" customHeight="1">
      <c r="B12" s="247"/>
      <c r="R12" s="249"/>
    </row>
    <row r="13" spans="2:18" s="240" customFormat="1" ht="15" customHeight="1">
      <c r="B13" s="247"/>
      <c r="D13" s="250" t="s">
        <v>292</v>
      </c>
      <c r="M13" s="250" t="s">
        <v>289</v>
      </c>
      <c r="O13" s="420"/>
      <c r="P13" s="418"/>
      <c r="R13" s="249"/>
    </row>
    <row r="14" spans="2:18" s="240" customFormat="1" ht="18.75" customHeight="1">
      <c r="B14" s="247"/>
      <c r="E14" s="251"/>
      <c r="M14" s="250" t="s">
        <v>291</v>
      </c>
      <c r="O14" s="420"/>
      <c r="P14" s="418"/>
      <c r="R14" s="249"/>
    </row>
    <row r="15" spans="2:18" s="240" customFormat="1" ht="7.5" customHeight="1">
      <c r="B15" s="247"/>
      <c r="R15" s="249"/>
    </row>
    <row r="16" spans="2:18" s="240" customFormat="1" ht="15" customHeight="1">
      <c r="B16" s="247"/>
      <c r="D16" s="250" t="s">
        <v>293</v>
      </c>
      <c r="M16" s="250" t="s">
        <v>289</v>
      </c>
      <c r="O16" s="420"/>
      <c r="P16" s="418"/>
      <c r="R16" s="249"/>
    </row>
    <row r="17" spans="2:18" s="240" customFormat="1" ht="18.75" customHeight="1">
      <c r="B17" s="247"/>
      <c r="E17" s="251" t="s">
        <v>294</v>
      </c>
      <c r="M17" s="250" t="s">
        <v>291</v>
      </c>
      <c r="O17" s="420"/>
      <c r="P17" s="418"/>
      <c r="R17" s="249"/>
    </row>
    <row r="18" spans="2:18" s="240" customFormat="1" ht="7.5" customHeight="1">
      <c r="B18" s="247"/>
      <c r="R18" s="249"/>
    </row>
    <row r="19" spans="2:18" s="240" customFormat="1" ht="15" customHeight="1">
      <c r="B19" s="247"/>
      <c r="D19" s="250" t="s">
        <v>295</v>
      </c>
      <c r="M19" s="250" t="s">
        <v>289</v>
      </c>
      <c r="O19" s="420"/>
      <c r="P19" s="418"/>
      <c r="R19" s="249"/>
    </row>
    <row r="20" spans="2:18" s="240" customFormat="1" ht="18.75" customHeight="1">
      <c r="B20" s="247"/>
      <c r="E20" s="251" t="s">
        <v>294</v>
      </c>
      <c r="M20" s="250" t="s">
        <v>291</v>
      </c>
      <c r="O20" s="420"/>
      <c r="P20" s="418"/>
      <c r="R20" s="249"/>
    </row>
    <row r="21" spans="2:18" s="240" customFormat="1" ht="7.5" customHeight="1">
      <c r="B21" s="247"/>
      <c r="R21" s="249"/>
    </row>
    <row r="22" spans="2:18" s="240" customFormat="1" ht="7.5" customHeight="1">
      <c r="B22" s="247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R22" s="249"/>
    </row>
    <row r="23" spans="2:18" s="240" customFormat="1" ht="15" customHeight="1">
      <c r="B23" s="247"/>
      <c r="D23" s="253" t="s">
        <v>296</v>
      </c>
      <c r="M23" s="421">
        <f>$N$87</f>
        <v>0</v>
      </c>
      <c r="N23" s="418"/>
      <c r="O23" s="418"/>
      <c r="P23" s="418"/>
      <c r="R23" s="249"/>
    </row>
    <row r="24" spans="2:18" s="240" customFormat="1" ht="15" customHeight="1">
      <c r="B24" s="247"/>
      <c r="D24" s="254" t="s">
        <v>147</v>
      </c>
      <c r="M24" s="421">
        <f>$N$102</f>
        <v>0</v>
      </c>
      <c r="N24" s="418"/>
      <c r="O24" s="418"/>
      <c r="P24" s="418"/>
      <c r="R24" s="249"/>
    </row>
    <row r="25" spans="2:18" s="240" customFormat="1" ht="7.5" customHeight="1">
      <c r="B25" s="247"/>
      <c r="R25" s="249"/>
    </row>
    <row r="26" spans="2:18" s="240" customFormat="1" ht="26.25" customHeight="1">
      <c r="B26" s="247"/>
      <c r="D26" s="255" t="s">
        <v>297</v>
      </c>
      <c r="M26" s="422">
        <f>ROUNDUP($M$23+$M$24,2)</f>
        <v>0</v>
      </c>
      <c r="N26" s="418"/>
      <c r="O26" s="418"/>
      <c r="P26" s="418"/>
      <c r="R26" s="249"/>
    </row>
    <row r="27" spans="2:18" s="240" customFormat="1" ht="7.5" customHeight="1">
      <c r="B27" s="247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R27" s="249"/>
    </row>
    <row r="28" spans="2:18" s="240" customFormat="1" ht="15" customHeight="1">
      <c r="B28" s="247"/>
      <c r="D28" s="256" t="s">
        <v>38</v>
      </c>
      <c r="E28" s="256" t="s">
        <v>298</v>
      </c>
      <c r="F28" s="257">
        <v>0.21</v>
      </c>
      <c r="G28" s="258" t="s">
        <v>299</v>
      </c>
      <c r="H28" s="423">
        <f>ROUNDUP((SUM($BE$102:$BE$103)+SUM($BE$120:$BE$218)),2)</f>
        <v>0</v>
      </c>
      <c r="I28" s="418"/>
      <c r="J28" s="418"/>
      <c r="M28" s="423">
        <f>ROUNDUP((SUM($BE$102:$BE$103)+SUM($BE$120:$BE$218))*$F$28,1)</f>
        <v>0</v>
      </c>
      <c r="N28" s="418"/>
      <c r="O28" s="418"/>
      <c r="P28" s="418"/>
      <c r="R28" s="249"/>
    </row>
    <row r="29" spans="2:18" s="240" customFormat="1" ht="15" customHeight="1">
      <c r="B29" s="247"/>
      <c r="E29" s="256" t="s">
        <v>300</v>
      </c>
      <c r="F29" s="257">
        <v>0.15</v>
      </c>
      <c r="G29" s="258" t="s">
        <v>299</v>
      </c>
      <c r="H29" s="423">
        <f>ROUNDUP((SUM($BF$102:$BF$103)+SUM($BF$120:$BF$218)),2)</f>
        <v>0</v>
      </c>
      <c r="I29" s="418"/>
      <c r="J29" s="418"/>
      <c r="M29" s="423">
        <f>ROUNDUP((SUM($BF$102:$BF$103)+SUM($BF$120:$BF$218))*$F$29,1)</f>
        <v>0</v>
      </c>
      <c r="N29" s="418"/>
      <c r="O29" s="418"/>
      <c r="P29" s="418"/>
      <c r="R29" s="249"/>
    </row>
    <row r="30" spans="2:18" s="240" customFormat="1" ht="15" customHeight="1" hidden="1">
      <c r="B30" s="247"/>
      <c r="E30" s="256" t="s">
        <v>301</v>
      </c>
      <c r="F30" s="257">
        <v>0.21</v>
      </c>
      <c r="G30" s="258" t="s">
        <v>299</v>
      </c>
      <c r="H30" s="423">
        <f>ROUNDUP((SUM($BG$102:$BG$103)+SUM($BG$120:$BG$218)),2)</f>
        <v>0</v>
      </c>
      <c r="I30" s="418"/>
      <c r="J30" s="418"/>
      <c r="M30" s="423">
        <v>0</v>
      </c>
      <c r="N30" s="418"/>
      <c r="O30" s="418"/>
      <c r="P30" s="418"/>
      <c r="R30" s="249"/>
    </row>
    <row r="31" spans="2:18" s="240" customFormat="1" ht="15" customHeight="1" hidden="1">
      <c r="B31" s="247"/>
      <c r="E31" s="256" t="s">
        <v>302</v>
      </c>
      <c r="F31" s="257">
        <v>0.15</v>
      </c>
      <c r="G31" s="258" t="s">
        <v>299</v>
      </c>
      <c r="H31" s="423">
        <f>ROUNDUP((SUM($BH$102:$BH$103)+SUM($BH$120:$BH$218)),2)</f>
        <v>0</v>
      </c>
      <c r="I31" s="418"/>
      <c r="J31" s="418"/>
      <c r="M31" s="423">
        <v>0</v>
      </c>
      <c r="N31" s="418"/>
      <c r="O31" s="418"/>
      <c r="P31" s="418"/>
      <c r="R31" s="249"/>
    </row>
    <row r="32" spans="2:18" s="240" customFormat="1" ht="15" customHeight="1" hidden="1">
      <c r="B32" s="247"/>
      <c r="E32" s="256" t="s">
        <v>303</v>
      </c>
      <c r="F32" s="257">
        <v>0</v>
      </c>
      <c r="G32" s="258" t="s">
        <v>299</v>
      </c>
      <c r="H32" s="423">
        <f>ROUNDUP((SUM($BI$102:$BI$103)+SUM($BI$120:$BI$218)),2)</f>
        <v>0</v>
      </c>
      <c r="I32" s="418"/>
      <c r="J32" s="418"/>
      <c r="M32" s="423">
        <v>0</v>
      </c>
      <c r="N32" s="418"/>
      <c r="O32" s="418"/>
      <c r="P32" s="418"/>
      <c r="R32" s="249"/>
    </row>
    <row r="33" spans="2:18" s="240" customFormat="1" ht="7.5" customHeight="1">
      <c r="B33" s="247"/>
      <c r="R33" s="249"/>
    </row>
    <row r="34" spans="2:18" s="240" customFormat="1" ht="26.25" customHeight="1">
      <c r="B34" s="247"/>
      <c r="C34" s="259"/>
      <c r="D34" s="260" t="s">
        <v>304</v>
      </c>
      <c r="E34" s="261"/>
      <c r="F34" s="261"/>
      <c r="G34" s="262" t="s">
        <v>257</v>
      </c>
      <c r="H34" s="263" t="s">
        <v>305</v>
      </c>
      <c r="I34" s="261"/>
      <c r="J34" s="261"/>
      <c r="K34" s="261"/>
      <c r="L34" s="424">
        <f>ROUNDUP(SUM($M$26:$M$32),2)</f>
        <v>0</v>
      </c>
      <c r="M34" s="425"/>
      <c r="N34" s="425"/>
      <c r="O34" s="425"/>
      <c r="P34" s="426"/>
      <c r="Q34" s="259"/>
      <c r="R34" s="249"/>
    </row>
    <row r="35" spans="2:18" s="240" customFormat="1" ht="15" customHeight="1">
      <c r="B35" s="247"/>
      <c r="R35" s="249"/>
    </row>
    <row r="36" spans="2:18" s="240" customFormat="1" ht="15" customHeight="1">
      <c r="B36" s="247"/>
      <c r="R36" s="249"/>
    </row>
    <row r="37" spans="2:18" s="238" customFormat="1" ht="14.25" customHeight="1">
      <c r="B37" s="244"/>
      <c r="R37" s="245"/>
    </row>
    <row r="38" spans="2:18" s="238" customFormat="1" ht="14.25" customHeight="1">
      <c r="B38" s="244"/>
      <c r="R38" s="245"/>
    </row>
    <row r="39" spans="2:18" s="238" customFormat="1" ht="14.25" customHeight="1">
      <c r="B39" s="244"/>
      <c r="R39" s="245"/>
    </row>
    <row r="40" spans="2:18" s="238" customFormat="1" ht="14.25" customHeight="1">
      <c r="B40" s="244"/>
      <c r="R40" s="245"/>
    </row>
    <row r="41" spans="2:18" s="238" customFormat="1" ht="14.25" customHeight="1">
      <c r="B41" s="244"/>
      <c r="R41" s="245"/>
    </row>
    <row r="42" spans="2:18" s="238" customFormat="1" ht="14.25" customHeight="1">
      <c r="B42" s="244"/>
      <c r="R42" s="245"/>
    </row>
    <row r="43" spans="2:18" s="238" customFormat="1" ht="14.25" customHeight="1">
      <c r="B43" s="244"/>
      <c r="R43" s="245"/>
    </row>
    <row r="44" spans="2:18" s="238" customFormat="1" ht="14.25" customHeight="1">
      <c r="B44" s="244"/>
      <c r="R44" s="245"/>
    </row>
    <row r="45" spans="2:18" s="238" customFormat="1" ht="14.25" customHeight="1">
      <c r="B45" s="244"/>
      <c r="R45" s="245"/>
    </row>
    <row r="46" spans="2:18" s="238" customFormat="1" ht="14.25" customHeight="1">
      <c r="B46" s="244"/>
      <c r="R46" s="245"/>
    </row>
    <row r="47" spans="2:18" s="238" customFormat="1" ht="14.25" customHeight="1">
      <c r="B47" s="244"/>
      <c r="R47" s="245"/>
    </row>
    <row r="48" spans="2:18" s="238" customFormat="1" ht="14.25" customHeight="1">
      <c r="B48" s="244"/>
      <c r="R48" s="245"/>
    </row>
    <row r="49" spans="2:18" s="238" customFormat="1" ht="14.25" customHeight="1">
      <c r="B49" s="244"/>
      <c r="R49" s="245"/>
    </row>
    <row r="50" spans="2:18" s="240" customFormat="1" ht="15.75" customHeight="1">
      <c r="B50" s="247"/>
      <c r="D50" s="264" t="s">
        <v>306</v>
      </c>
      <c r="E50" s="252"/>
      <c r="F50" s="252"/>
      <c r="G50" s="252"/>
      <c r="H50" s="265"/>
      <c r="J50" s="264" t="s">
        <v>307</v>
      </c>
      <c r="K50" s="252"/>
      <c r="L50" s="252"/>
      <c r="M50" s="252"/>
      <c r="N50" s="252"/>
      <c r="O50" s="252"/>
      <c r="P50" s="265"/>
      <c r="R50" s="249"/>
    </row>
    <row r="51" spans="2:18" s="238" customFormat="1" ht="14.25" customHeight="1">
      <c r="B51" s="244"/>
      <c r="D51" s="266"/>
      <c r="H51" s="267"/>
      <c r="J51" s="266"/>
      <c r="P51" s="267"/>
      <c r="R51" s="245"/>
    </row>
    <row r="52" spans="2:18" s="238" customFormat="1" ht="14.25" customHeight="1">
      <c r="B52" s="244"/>
      <c r="D52" s="266"/>
      <c r="H52" s="267"/>
      <c r="J52" s="266"/>
      <c r="P52" s="267"/>
      <c r="R52" s="245"/>
    </row>
    <row r="53" spans="2:18" s="238" customFormat="1" ht="14.25" customHeight="1">
      <c r="B53" s="244"/>
      <c r="D53" s="266"/>
      <c r="H53" s="267"/>
      <c r="J53" s="266"/>
      <c r="P53" s="267"/>
      <c r="R53" s="245"/>
    </row>
    <row r="54" spans="2:18" s="238" customFormat="1" ht="14.25" customHeight="1">
      <c r="B54" s="244"/>
      <c r="D54" s="266"/>
      <c r="H54" s="267"/>
      <c r="J54" s="266"/>
      <c r="P54" s="267"/>
      <c r="R54" s="245"/>
    </row>
    <row r="55" spans="2:18" s="238" customFormat="1" ht="14.25" customHeight="1">
      <c r="B55" s="244"/>
      <c r="D55" s="266"/>
      <c r="H55" s="267"/>
      <c r="J55" s="266"/>
      <c r="P55" s="267"/>
      <c r="R55" s="245"/>
    </row>
    <row r="56" spans="2:18" s="238" customFormat="1" ht="14.25" customHeight="1">
      <c r="B56" s="244"/>
      <c r="D56" s="266"/>
      <c r="H56" s="267"/>
      <c r="J56" s="266"/>
      <c r="P56" s="267"/>
      <c r="R56" s="245"/>
    </row>
    <row r="57" spans="2:18" s="238" customFormat="1" ht="14.25" customHeight="1">
      <c r="B57" s="244"/>
      <c r="D57" s="266"/>
      <c r="H57" s="267"/>
      <c r="J57" s="266"/>
      <c r="P57" s="267"/>
      <c r="R57" s="245"/>
    </row>
    <row r="58" spans="2:18" s="238" customFormat="1" ht="14.25" customHeight="1">
      <c r="B58" s="244"/>
      <c r="D58" s="266"/>
      <c r="H58" s="267"/>
      <c r="J58" s="266"/>
      <c r="P58" s="267"/>
      <c r="R58" s="245"/>
    </row>
    <row r="59" spans="2:18" s="240" customFormat="1" ht="15.75" customHeight="1">
      <c r="B59" s="247"/>
      <c r="D59" s="268" t="s">
        <v>308</v>
      </c>
      <c r="E59" s="269"/>
      <c r="F59" s="269"/>
      <c r="G59" s="270" t="s">
        <v>309</v>
      </c>
      <c r="H59" s="271"/>
      <c r="J59" s="268" t="s">
        <v>308</v>
      </c>
      <c r="K59" s="269"/>
      <c r="L59" s="269"/>
      <c r="M59" s="269"/>
      <c r="N59" s="270" t="s">
        <v>309</v>
      </c>
      <c r="O59" s="269"/>
      <c r="P59" s="271"/>
      <c r="R59" s="249"/>
    </row>
    <row r="60" spans="2:18" s="238" customFormat="1" ht="14.25" customHeight="1">
      <c r="B60" s="244"/>
      <c r="R60" s="245"/>
    </row>
    <row r="61" spans="2:18" s="240" customFormat="1" ht="15.75" customHeight="1">
      <c r="B61" s="247"/>
      <c r="D61" s="264" t="s">
        <v>310</v>
      </c>
      <c r="E61" s="252"/>
      <c r="F61" s="252"/>
      <c r="G61" s="252"/>
      <c r="H61" s="265"/>
      <c r="J61" s="264" t="s">
        <v>311</v>
      </c>
      <c r="K61" s="252"/>
      <c r="L61" s="252"/>
      <c r="M61" s="252"/>
      <c r="N61" s="252"/>
      <c r="O61" s="252"/>
      <c r="P61" s="265"/>
      <c r="R61" s="249"/>
    </row>
    <row r="62" spans="2:18" s="238" customFormat="1" ht="14.25" customHeight="1">
      <c r="B62" s="244"/>
      <c r="D62" s="266"/>
      <c r="H62" s="267"/>
      <c r="J62" s="266"/>
      <c r="P62" s="267"/>
      <c r="R62" s="245"/>
    </row>
    <row r="63" spans="2:18" s="238" customFormat="1" ht="14.25" customHeight="1">
      <c r="B63" s="244"/>
      <c r="D63" s="266"/>
      <c r="H63" s="267"/>
      <c r="J63" s="266"/>
      <c r="P63" s="267"/>
      <c r="R63" s="245"/>
    </row>
    <row r="64" spans="2:18" s="238" customFormat="1" ht="14.25" customHeight="1">
      <c r="B64" s="244"/>
      <c r="D64" s="266"/>
      <c r="H64" s="267"/>
      <c r="J64" s="266"/>
      <c r="P64" s="267"/>
      <c r="R64" s="245"/>
    </row>
    <row r="65" spans="2:18" s="238" customFormat="1" ht="14.25" customHeight="1">
      <c r="B65" s="244"/>
      <c r="D65" s="266"/>
      <c r="H65" s="267"/>
      <c r="J65" s="266"/>
      <c r="P65" s="267"/>
      <c r="R65" s="245"/>
    </row>
    <row r="66" spans="2:18" s="238" customFormat="1" ht="14.25" customHeight="1">
      <c r="B66" s="244"/>
      <c r="D66" s="266"/>
      <c r="H66" s="267"/>
      <c r="J66" s="266"/>
      <c r="P66" s="267"/>
      <c r="R66" s="245"/>
    </row>
    <row r="67" spans="2:18" s="238" customFormat="1" ht="14.25" customHeight="1">
      <c r="B67" s="244"/>
      <c r="D67" s="266"/>
      <c r="H67" s="267"/>
      <c r="J67" s="266"/>
      <c r="P67" s="267"/>
      <c r="R67" s="245"/>
    </row>
    <row r="68" spans="2:18" s="238" customFormat="1" ht="14.25" customHeight="1">
      <c r="B68" s="244"/>
      <c r="D68" s="266"/>
      <c r="H68" s="267"/>
      <c r="J68" s="266"/>
      <c r="P68" s="267"/>
      <c r="R68" s="245"/>
    </row>
    <row r="69" spans="2:18" s="238" customFormat="1" ht="14.25" customHeight="1">
      <c r="B69" s="244"/>
      <c r="D69" s="266"/>
      <c r="H69" s="267"/>
      <c r="J69" s="266"/>
      <c r="P69" s="267"/>
      <c r="R69" s="245"/>
    </row>
    <row r="70" spans="2:18" s="240" customFormat="1" ht="15.75" customHeight="1">
      <c r="B70" s="247"/>
      <c r="D70" s="268" t="s">
        <v>308</v>
      </c>
      <c r="E70" s="269"/>
      <c r="F70" s="269"/>
      <c r="G70" s="270" t="s">
        <v>309</v>
      </c>
      <c r="H70" s="271"/>
      <c r="J70" s="268" t="s">
        <v>308</v>
      </c>
      <c r="K70" s="269"/>
      <c r="L70" s="269"/>
      <c r="M70" s="269"/>
      <c r="N70" s="270" t="s">
        <v>309</v>
      </c>
      <c r="O70" s="269"/>
      <c r="P70" s="271"/>
      <c r="R70" s="249"/>
    </row>
    <row r="71" spans="2:18" s="240" customFormat="1" ht="1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4"/>
    </row>
    <row r="75" spans="2:18" s="240" customFormat="1" ht="7.5" customHeight="1">
      <c r="B75" s="275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7"/>
    </row>
    <row r="76" spans="2:18" s="240" customFormat="1" ht="37.5" customHeight="1">
      <c r="B76" s="247"/>
      <c r="C76" s="416" t="s">
        <v>312</v>
      </c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249"/>
    </row>
    <row r="77" spans="2:18" s="240" customFormat="1" ht="7.5" customHeight="1">
      <c r="B77" s="247"/>
      <c r="R77" s="249"/>
    </row>
    <row r="78" spans="2:18" s="240" customFormat="1" ht="37.5" customHeight="1">
      <c r="B78" s="247"/>
      <c r="C78" s="278" t="s">
        <v>21</v>
      </c>
      <c r="F78" s="427" t="str">
        <f>$F$6</f>
        <v>Oprava kanalizace v ul. 28. října</v>
      </c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R78" s="249"/>
    </row>
    <row r="79" spans="2:18" s="240" customFormat="1" ht="7.5" customHeight="1">
      <c r="B79" s="247"/>
      <c r="R79" s="249"/>
    </row>
    <row r="80" spans="2:18" s="240" customFormat="1" ht="18.75" customHeight="1">
      <c r="B80" s="247"/>
      <c r="C80" s="250" t="s">
        <v>283</v>
      </c>
      <c r="F80" s="251" t="str">
        <f>$F$8</f>
        <v> </v>
      </c>
      <c r="K80" s="250" t="s">
        <v>284</v>
      </c>
      <c r="M80" s="419">
        <f>IF($O$8="","",$O$8)</f>
        <v>41522</v>
      </c>
      <c r="N80" s="418"/>
      <c r="O80" s="418"/>
      <c r="P80" s="418"/>
      <c r="R80" s="249"/>
    </row>
    <row r="81" spans="2:18" s="240" customFormat="1" ht="7.5" customHeight="1">
      <c r="B81" s="247"/>
      <c r="R81" s="249"/>
    </row>
    <row r="82" spans="2:18" s="240" customFormat="1" ht="15.75" customHeight="1">
      <c r="B82" s="247"/>
      <c r="C82" s="250" t="s">
        <v>288</v>
      </c>
      <c r="F82" s="251" t="str">
        <f>$E$11</f>
        <v>SMO MOB MOR. OSTRAVA A PŘÍVOZ</v>
      </c>
      <c r="K82" s="250" t="s">
        <v>293</v>
      </c>
      <c r="M82" s="420" t="str">
        <f>$E$17</f>
        <v>OVAK a.s.</v>
      </c>
      <c r="N82" s="418"/>
      <c r="O82" s="418"/>
      <c r="P82" s="418"/>
      <c r="Q82" s="418"/>
      <c r="R82" s="249"/>
    </row>
    <row r="83" spans="2:18" s="240" customFormat="1" ht="15" customHeight="1">
      <c r="B83" s="247"/>
      <c r="C83" s="250" t="s">
        <v>292</v>
      </c>
      <c r="F83" s="251">
        <f>IF($E$14="","",$E$14)</f>
      </c>
      <c r="K83" s="250" t="s">
        <v>295</v>
      </c>
      <c r="M83" s="420" t="str">
        <f>$E$20</f>
        <v>OVAK a.s.</v>
      </c>
      <c r="N83" s="418"/>
      <c r="O83" s="418"/>
      <c r="P83" s="418"/>
      <c r="Q83" s="418"/>
      <c r="R83" s="249"/>
    </row>
    <row r="84" spans="2:18" s="240" customFormat="1" ht="11.25" customHeight="1">
      <c r="B84" s="247"/>
      <c r="R84" s="249"/>
    </row>
    <row r="85" spans="2:18" s="240" customFormat="1" ht="30" customHeight="1">
      <c r="B85" s="247"/>
      <c r="C85" s="428" t="s">
        <v>313</v>
      </c>
      <c r="D85" s="429"/>
      <c r="E85" s="429"/>
      <c r="F85" s="429"/>
      <c r="G85" s="429"/>
      <c r="H85" s="259"/>
      <c r="I85" s="259"/>
      <c r="J85" s="259"/>
      <c r="K85" s="259"/>
      <c r="L85" s="259"/>
      <c r="M85" s="259"/>
      <c r="N85" s="428" t="s">
        <v>314</v>
      </c>
      <c r="O85" s="418"/>
      <c r="P85" s="418"/>
      <c r="Q85" s="418"/>
      <c r="R85" s="249"/>
    </row>
    <row r="86" spans="2:18" s="240" customFormat="1" ht="11.25" customHeight="1">
      <c r="B86" s="247"/>
      <c r="R86" s="249"/>
    </row>
    <row r="87" spans="2:47" s="240" customFormat="1" ht="30" customHeight="1">
      <c r="B87" s="247"/>
      <c r="C87" s="279" t="s">
        <v>315</v>
      </c>
      <c r="N87" s="430">
        <f>ROUNDUP($N$120,2)</f>
        <v>0</v>
      </c>
      <c r="O87" s="418"/>
      <c r="P87" s="418"/>
      <c r="Q87" s="418"/>
      <c r="R87" s="249"/>
      <c r="AU87" s="240" t="s">
        <v>316</v>
      </c>
    </row>
    <row r="88" spans="2:18" s="281" customFormat="1" ht="25.5" customHeight="1">
      <c r="B88" s="280"/>
      <c r="D88" s="282" t="s">
        <v>317</v>
      </c>
      <c r="N88" s="431">
        <f>ROUNDUP($N$121,2)</f>
        <v>0</v>
      </c>
      <c r="O88" s="432"/>
      <c r="P88" s="432"/>
      <c r="Q88" s="432"/>
      <c r="R88" s="283"/>
    </row>
    <row r="89" spans="2:18" s="253" customFormat="1" ht="21" customHeight="1">
      <c r="B89" s="284"/>
      <c r="D89" s="285" t="s">
        <v>318</v>
      </c>
      <c r="N89" s="433">
        <f>ROUNDUP($N$122,2)</f>
        <v>0</v>
      </c>
      <c r="O89" s="432"/>
      <c r="P89" s="432"/>
      <c r="Q89" s="432"/>
      <c r="R89" s="286"/>
    </row>
    <row r="90" spans="2:18" s="253" customFormat="1" ht="21" customHeight="1">
      <c r="B90" s="284"/>
      <c r="D90" s="285" t="s">
        <v>319</v>
      </c>
      <c r="N90" s="433">
        <f>ROUNDUP($N$143,2)</f>
        <v>0</v>
      </c>
      <c r="O90" s="432"/>
      <c r="P90" s="432"/>
      <c r="Q90" s="432"/>
      <c r="R90" s="286"/>
    </row>
    <row r="91" spans="2:18" s="253" customFormat="1" ht="21" customHeight="1">
      <c r="B91" s="284"/>
      <c r="D91" s="285" t="s">
        <v>320</v>
      </c>
      <c r="N91" s="433">
        <f>ROUNDUP($N$145,2)</f>
        <v>0</v>
      </c>
      <c r="O91" s="432"/>
      <c r="P91" s="432"/>
      <c r="Q91" s="432"/>
      <c r="R91" s="286"/>
    </row>
    <row r="92" spans="2:18" s="253" customFormat="1" ht="21" customHeight="1">
      <c r="B92" s="284"/>
      <c r="D92" s="285" t="s">
        <v>321</v>
      </c>
      <c r="N92" s="433">
        <f>ROUNDUP($N$148,2)</f>
        <v>0</v>
      </c>
      <c r="O92" s="432"/>
      <c r="P92" s="432"/>
      <c r="Q92" s="432"/>
      <c r="R92" s="286"/>
    </row>
    <row r="93" spans="2:18" s="253" customFormat="1" ht="21" customHeight="1">
      <c r="B93" s="284"/>
      <c r="D93" s="285" t="s">
        <v>322</v>
      </c>
      <c r="N93" s="433">
        <f>ROUNDUP($N$193,2)</f>
        <v>0</v>
      </c>
      <c r="O93" s="432"/>
      <c r="P93" s="432"/>
      <c r="Q93" s="432"/>
      <c r="R93" s="286"/>
    </row>
    <row r="94" spans="2:18" s="253" customFormat="1" ht="15.75" customHeight="1">
      <c r="B94" s="284"/>
      <c r="D94" s="285" t="s">
        <v>323</v>
      </c>
      <c r="N94" s="433">
        <f>ROUNDUP($N$197,2)</f>
        <v>0</v>
      </c>
      <c r="O94" s="432"/>
      <c r="P94" s="432"/>
      <c r="Q94" s="432"/>
      <c r="R94" s="286"/>
    </row>
    <row r="95" spans="2:18" s="253" customFormat="1" ht="15.75" customHeight="1">
      <c r="B95" s="284"/>
      <c r="D95" s="285" t="s">
        <v>324</v>
      </c>
      <c r="N95" s="433">
        <f>ROUNDUP($N$201,2)</f>
        <v>0</v>
      </c>
      <c r="O95" s="432"/>
      <c r="P95" s="432"/>
      <c r="Q95" s="432"/>
      <c r="R95" s="286"/>
    </row>
    <row r="96" spans="2:18" s="281" customFormat="1" ht="25.5" customHeight="1">
      <c r="B96" s="280"/>
      <c r="D96" s="282" t="s">
        <v>325</v>
      </c>
      <c r="N96" s="431">
        <f>ROUNDUP($N$205,2)</f>
        <v>0</v>
      </c>
      <c r="O96" s="432"/>
      <c r="P96" s="432"/>
      <c r="Q96" s="432"/>
      <c r="R96" s="283"/>
    </row>
    <row r="97" spans="2:18" s="253" customFormat="1" ht="21" customHeight="1">
      <c r="B97" s="284"/>
      <c r="D97" s="285" t="s">
        <v>326</v>
      </c>
      <c r="N97" s="433">
        <f>ROUNDUP($N$206,2)</f>
        <v>0</v>
      </c>
      <c r="O97" s="432"/>
      <c r="P97" s="432"/>
      <c r="Q97" s="432"/>
      <c r="R97" s="286"/>
    </row>
    <row r="98" spans="2:18" s="281" customFormat="1" ht="25.5" customHeight="1">
      <c r="B98" s="280"/>
      <c r="D98" s="282" t="s">
        <v>327</v>
      </c>
      <c r="N98" s="431">
        <f>ROUNDUP($N$210,2)</f>
        <v>0</v>
      </c>
      <c r="O98" s="432"/>
      <c r="P98" s="432"/>
      <c r="Q98" s="432"/>
      <c r="R98" s="283"/>
    </row>
    <row r="99" spans="2:18" s="253" customFormat="1" ht="21" customHeight="1">
      <c r="B99" s="284"/>
      <c r="D99" s="285" t="s">
        <v>328</v>
      </c>
      <c r="N99" s="433">
        <f>ROUNDUP($N$211,2)</f>
        <v>0</v>
      </c>
      <c r="O99" s="432"/>
      <c r="P99" s="432"/>
      <c r="Q99" s="432"/>
      <c r="R99" s="286"/>
    </row>
    <row r="100" spans="2:18" s="253" customFormat="1" ht="21" customHeight="1">
      <c r="B100" s="284"/>
      <c r="D100" s="285" t="s">
        <v>329</v>
      </c>
      <c r="N100" s="433">
        <f>ROUNDUP($N$216,2)</f>
        <v>0</v>
      </c>
      <c r="O100" s="432"/>
      <c r="P100" s="432"/>
      <c r="Q100" s="432"/>
      <c r="R100" s="286"/>
    </row>
    <row r="101" spans="2:18" s="240" customFormat="1" ht="22.5" customHeight="1">
      <c r="B101" s="247"/>
      <c r="R101" s="249"/>
    </row>
    <row r="102" spans="2:21" s="240" customFormat="1" ht="30" customHeight="1">
      <c r="B102" s="247"/>
      <c r="C102" s="279" t="s">
        <v>330</v>
      </c>
      <c r="N102" s="430">
        <v>0</v>
      </c>
      <c r="O102" s="418"/>
      <c r="P102" s="418"/>
      <c r="Q102" s="418"/>
      <c r="R102" s="249"/>
      <c r="T102" s="287"/>
      <c r="U102" s="288" t="s">
        <v>38</v>
      </c>
    </row>
    <row r="103" spans="2:18" s="240" customFormat="1" ht="18.75" customHeight="1">
      <c r="B103" s="247"/>
      <c r="R103" s="249"/>
    </row>
    <row r="104" spans="2:18" s="240" customFormat="1" ht="30" customHeight="1">
      <c r="B104" s="247"/>
      <c r="C104" s="289" t="s">
        <v>331</v>
      </c>
      <c r="D104" s="259"/>
      <c r="E104" s="259"/>
      <c r="F104" s="259"/>
      <c r="G104" s="259"/>
      <c r="H104" s="259"/>
      <c r="I104" s="259"/>
      <c r="J104" s="259"/>
      <c r="K104" s="259"/>
      <c r="L104" s="434">
        <f>ROUNDUP(SUM($N$87+$N$102),2)</f>
        <v>0</v>
      </c>
      <c r="M104" s="429"/>
      <c r="N104" s="429"/>
      <c r="O104" s="429"/>
      <c r="P104" s="429"/>
      <c r="Q104" s="429"/>
      <c r="R104" s="249"/>
    </row>
    <row r="105" spans="2:18" s="240" customFormat="1" ht="7.5" customHeight="1">
      <c r="B105" s="272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4"/>
    </row>
    <row r="109" spans="2:18" s="240" customFormat="1" ht="7.5" customHeight="1">
      <c r="B109" s="275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7"/>
    </row>
    <row r="110" spans="2:18" s="240" customFormat="1" ht="37.5" customHeight="1">
      <c r="B110" s="247"/>
      <c r="C110" s="416" t="s">
        <v>332</v>
      </c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249"/>
    </row>
    <row r="111" spans="2:18" s="240" customFormat="1" ht="7.5" customHeight="1">
      <c r="B111" s="247"/>
      <c r="R111" s="249"/>
    </row>
    <row r="112" spans="2:18" s="240" customFormat="1" ht="37.5" customHeight="1">
      <c r="B112" s="247"/>
      <c r="C112" s="278" t="s">
        <v>21</v>
      </c>
      <c r="F112" s="427" t="str">
        <f>$F$6</f>
        <v>Oprava kanalizace v ul. 28. října</v>
      </c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R112" s="249"/>
    </row>
    <row r="113" spans="2:18" s="240" customFormat="1" ht="7.5" customHeight="1">
      <c r="B113" s="247"/>
      <c r="R113" s="249"/>
    </row>
    <row r="114" spans="2:18" s="240" customFormat="1" ht="18.75" customHeight="1">
      <c r="B114" s="247"/>
      <c r="C114" s="250" t="s">
        <v>283</v>
      </c>
      <c r="F114" s="251" t="str">
        <f>$F$8</f>
        <v> </v>
      </c>
      <c r="K114" s="250" t="s">
        <v>284</v>
      </c>
      <c r="M114" s="419">
        <f>IF($O$8="","",$O$8)</f>
        <v>41522</v>
      </c>
      <c r="N114" s="418"/>
      <c r="O114" s="418"/>
      <c r="P114" s="418"/>
      <c r="R114" s="249"/>
    </row>
    <row r="115" spans="2:18" s="240" customFormat="1" ht="7.5" customHeight="1">
      <c r="B115" s="247"/>
      <c r="R115" s="249"/>
    </row>
    <row r="116" spans="2:18" s="240" customFormat="1" ht="15.75" customHeight="1">
      <c r="B116" s="247"/>
      <c r="C116" s="250" t="s">
        <v>288</v>
      </c>
      <c r="F116" s="251" t="str">
        <f>$E$11</f>
        <v>SMO MOB MOR. OSTRAVA A PŘÍVOZ</v>
      </c>
      <c r="K116" s="250" t="s">
        <v>293</v>
      </c>
      <c r="M116" s="420" t="str">
        <f>$E$17</f>
        <v>OVAK a.s.</v>
      </c>
      <c r="N116" s="418"/>
      <c r="O116" s="418"/>
      <c r="P116" s="418"/>
      <c r="Q116" s="418"/>
      <c r="R116" s="249"/>
    </row>
    <row r="117" spans="2:18" s="240" customFormat="1" ht="15" customHeight="1">
      <c r="B117" s="247"/>
      <c r="C117" s="250" t="s">
        <v>292</v>
      </c>
      <c r="F117" s="251">
        <f>IF($E$14="","",$E$14)</f>
      </c>
      <c r="K117" s="250" t="s">
        <v>295</v>
      </c>
      <c r="M117" s="420" t="str">
        <f>$E$20</f>
        <v>OVAK a.s.</v>
      </c>
      <c r="N117" s="418"/>
      <c r="O117" s="418"/>
      <c r="P117" s="418"/>
      <c r="Q117" s="418"/>
      <c r="R117" s="249"/>
    </row>
    <row r="118" spans="2:18" s="240" customFormat="1" ht="11.25" customHeight="1">
      <c r="B118" s="247"/>
      <c r="R118" s="249"/>
    </row>
    <row r="119" spans="2:27" s="294" customFormat="1" ht="30" customHeight="1">
      <c r="B119" s="290"/>
      <c r="C119" s="291" t="s">
        <v>333</v>
      </c>
      <c r="D119" s="292" t="s">
        <v>334</v>
      </c>
      <c r="E119" s="292" t="s">
        <v>335</v>
      </c>
      <c r="F119" s="435" t="s">
        <v>336</v>
      </c>
      <c r="G119" s="436"/>
      <c r="H119" s="436"/>
      <c r="I119" s="436"/>
      <c r="J119" s="292" t="s">
        <v>5</v>
      </c>
      <c r="K119" s="292" t="s">
        <v>6</v>
      </c>
      <c r="L119" s="435" t="s">
        <v>337</v>
      </c>
      <c r="M119" s="436"/>
      <c r="N119" s="435" t="s">
        <v>338</v>
      </c>
      <c r="O119" s="436"/>
      <c r="P119" s="436"/>
      <c r="Q119" s="437"/>
      <c r="R119" s="293"/>
      <c r="T119" s="295" t="s">
        <v>339</v>
      </c>
      <c r="U119" s="296" t="s">
        <v>38</v>
      </c>
      <c r="V119" s="296" t="s">
        <v>340</v>
      </c>
      <c r="W119" s="296" t="s">
        <v>341</v>
      </c>
      <c r="X119" s="296" t="s">
        <v>342</v>
      </c>
      <c r="Y119" s="296" t="s">
        <v>343</v>
      </c>
      <c r="Z119" s="296" t="s">
        <v>344</v>
      </c>
      <c r="AA119" s="297" t="s">
        <v>345</v>
      </c>
    </row>
    <row r="120" spans="2:63" s="240" customFormat="1" ht="30" customHeight="1">
      <c r="B120" s="247"/>
      <c r="C120" s="279" t="s">
        <v>296</v>
      </c>
      <c r="N120" s="438">
        <f>$BK$120</f>
        <v>0</v>
      </c>
      <c r="O120" s="418"/>
      <c r="P120" s="418"/>
      <c r="Q120" s="418"/>
      <c r="R120" s="249"/>
      <c r="T120" s="298"/>
      <c r="U120" s="252"/>
      <c r="V120" s="252"/>
      <c r="W120" s="299">
        <f>$W$121+$W$205+$W$210</f>
        <v>2143.570606</v>
      </c>
      <c r="X120" s="252"/>
      <c r="Y120" s="299">
        <f>$Y$121+$Y$205+$Y$210</f>
        <v>727.10874</v>
      </c>
      <c r="Z120" s="252"/>
      <c r="AA120" s="300">
        <f>$AA$121+$AA$205+$AA$210</f>
        <v>28.5656</v>
      </c>
      <c r="AT120" s="240" t="s">
        <v>346</v>
      </c>
      <c r="AU120" s="240" t="s">
        <v>316</v>
      </c>
      <c r="BK120" s="301">
        <f>$BK$121+$BK$205+$BK$210</f>
        <v>0</v>
      </c>
    </row>
    <row r="121" spans="2:63" s="303" customFormat="1" ht="37.5" customHeight="1">
      <c r="B121" s="302"/>
      <c r="D121" s="304" t="s">
        <v>317</v>
      </c>
      <c r="N121" s="439">
        <f>$BK$121</f>
        <v>0</v>
      </c>
      <c r="O121" s="440"/>
      <c r="P121" s="440"/>
      <c r="Q121" s="440"/>
      <c r="R121" s="306"/>
      <c r="T121" s="307"/>
      <c r="W121" s="308">
        <f>$W$122+$W$143+$W$145+$W$148+$W$193</f>
        <v>1850.188356</v>
      </c>
      <c r="Y121" s="308">
        <f>$Y$122+$Y$143+$Y$145+$Y$148+$Y$193</f>
        <v>727.10874</v>
      </c>
      <c r="AA121" s="309">
        <f>$AA$122+$AA$143+$AA$145+$AA$148+$AA$193</f>
        <v>28.5656</v>
      </c>
      <c r="AR121" s="305" t="s">
        <v>347</v>
      </c>
      <c r="AT121" s="305" t="s">
        <v>346</v>
      </c>
      <c r="AU121" s="305" t="s">
        <v>348</v>
      </c>
      <c r="AY121" s="305" t="s">
        <v>349</v>
      </c>
      <c r="BK121" s="310">
        <f>$BK$122+$BK$143+$BK$145+$BK$148+$BK$193</f>
        <v>0</v>
      </c>
    </row>
    <row r="122" spans="2:63" s="303" customFormat="1" ht="21" customHeight="1">
      <c r="B122" s="302"/>
      <c r="D122" s="311" t="s">
        <v>318</v>
      </c>
      <c r="N122" s="441">
        <f>$BK$122</f>
        <v>0</v>
      </c>
      <c r="O122" s="440"/>
      <c r="P122" s="440"/>
      <c r="Q122" s="440"/>
      <c r="R122" s="306"/>
      <c r="T122" s="307"/>
      <c r="W122" s="308">
        <f>SUM($W$123:$W$142)</f>
        <v>1070.1303090000001</v>
      </c>
      <c r="Y122" s="308">
        <f>SUM($Y$123:$Y$142)</f>
        <v>657.45204</v>
      </c>
      <c r="AA122" s="309">
        <f>SUM($AA$123:$AA$142)</f>
        <v>0</v>
      </c>
      <c r="AR122" s="305" t="s">
        <v>347</v>
      </c>
      <c r="AT122" s="305" t="s">
        <v>346</v>
      </c>
      <c r="AU122" s="305" t="s">
        <v>347</v>
      </c>
      <c r="AY122" s="305" t="s">
        <v>349</v>
      </c>
      <c r="BK122" s="310">
        <f>SUM($BK$123:$BK$142)</f>
        <v>0</v>
      </c>
    </row>
    <row r="123" spans="2:64" s="240" customFormat="1" ht="27" customHeight="1">
      <c r="B123" s="247"/>
      <c r="C123" s="312" t="s">
        <v>347</v>
      </c>
      <c r="D123" s="312" t="s">
        <v>350</v>
      </c>
      <c r="E123" s="313" t="s">
        <v>351</v>
      </c>
      <c r="F123" s="442" t="s">
        <v>352</v>
      </c>
      <c r="G123" s="443"/>
      <c r="H123" s="443"/>
      <c r="I123" s="443"/>
      <c r="J123" s="314" t="s">
        <v>353</v>
      </c>
      <c r="K123" s="315">
        <v>50</v>
      </c>
      <c r="L123" s="444"/>
      <c r="M123" s="443"/>
      <c r="N123" s="444">
        <f>ROUND($L$123*$K$123,2)</f>
        <v>0</v>
      </c>
      <c r="O123" s="443"/>
      <c r="P123" s="443"/>
      <c r="Q123" s="443"/>
      <c r="R123" s="249"/>
      <c r="T123" s="316"/>
      <c r="U123" s="317" t="s">
        <v>298</v>
      </c>
      <c r="V123" s="318">
        <v>0.2</v>
      </c>
      <c r="W123" s="318">
        <f>$V$123*$K$123</f>
        <v>10</v>
      </c>
      <c r="X123" s="318">
        <v>0</v>
      </c>
      <c r="Y123" s="318">
        <f>$X$123*$K$123</f>
        <v>0</v>
      </c>
      <c r="Z123" s="318">
        <v>0</v>
      </c>
      <c r="AA123" s="319">
        <f>$Z$123*$K$123</f>
        <v>0</v>
      </c>
      <c r="AR123" s="240" t="s">
        <v>354</v>
      </c>
      <c r="AT123" s="240" t="s">
        <v>350</v>
      </c>
      <c r="AU123" s="240" t="s">
        <v>260</v>
      </c>
      <c r="AY123" s="240" t="s">
        <v>349</v>
      </c>
      <c r="BE123" s="320">
        <f>IF($U$123="základní",$N$123,0)</f>
        <v>0</v>
      </c>
      <c r="BF123" s="320">
        <f>IF($U$123="snížená",$N$123,0)</f>
        <v>0</v>
      </c>
      <c r="BG123" s="320">
        <f>IF($U$123="zákl. přenesená",$N$123,0)</f>
        <v>0</v>
      </c>
      <c r="BH123" s="320">
        <f>IF($U$123="sníž. přenesená",$N$123,0)</f>
        <v>0</v>
      </c>
      <c r="BI123" s="320">
        <f>IF($U$123="nulová",$N$123,0)</f>
        <v>0</v>
      </c>
      <c r="BJ123" s="240" t="s">
        <v>347</v>
      </c>
      <c r="BK123" s="320">
        <f>ROUND($L$123*$K$123,2)</f>
        <v>0</v>
      </c>
      <c r="BL123" s="240" t="s">
        <v>354</v>
      </c>
    </row>
    <row r="124" spans="2:64" s="240" customFormat="1" ht="27" customHeight="1">
      <c r="B124" s="247"/>
      <c r="C124" s="312" t="s">
        <v>260</v>
      </c>
      <c r="D124" s="312" t="s">
        <v>350</v>
      </c>
      <c r="E124" s="313" t="s">
        <v>355</v>
      </c>
      <c r="F124" s="442" t="s">
        <v>356</v>
      </c>
      <c r="G124" s="443"/>
      <c r="H124" s="443"/>
      <c r="I124" s="443"/>
      <c r="J124" s="314" t="s">
        <v>357</v>
      </c>
      <c r="K124" s="315">
        <v>14</v>
      </c>
      <c r="L124" s="444"/>
      <c r="M124" s="443"/>
      <c r="N124" s="444">
        <f>ROUND($L$124*$K$124,2)</f>
        <v>0</v>
      </c>
      <c r="O124" s="443"/>
      <c r="P124" s="443"/>
      <c r="Q124" s="443"/>
      <c r="R124" s="249"/>
      <c r="T124" s="316"/>
      <c r="U124" s="317" t="s">
        <v>298</v>
      </c>
      <c r="V124" s="318">
        <v>0</v>
      </c>
      <c r="W124" s="318">
        <f>$V$124*$K$124</f>
        <v>0</v>
      </c>
      <c r="X124" s="318">
        <v>0</v>
      </c>
      <c r="Y124" s="318">
        <f>$X$124*$K$124</f>
        <v>0</v>
      </c>
      <c r="Z124" s="318">
        <v>0</v>
      </c>
      <c r="AA124" s="319">
        <f>$Z$124*$K$124</f>
        <v>0</v>
      </c>
      <c r="AR124" s="240" t="s">
        <v>354</v>
      </c>
      <c r="AT124" s="240" t="s">
        <v>350</v>
      </c>
      <c r="AU124" s="240" t="s">
        <v>260</v>
      </c>
      <c r="AY124" s="240" t="s">
        <v>349</v>
      </c>
      <c r="BE124" s="320">
        <f>IF($U$124="základní",$N$124,0)</f>
        <v>0</v>
      </c>
      <c r="BF124" s="320">
        <f>IF($U$124="snížená",$N$124,0)</f>
        <v>0</v>
      </c>
      <c r="BG124" s="320">
        <f>IF($U$124="zákl. přenesená",$N$124,0)</f>
        <v>0</v>
      </c>
      <c r="BH124" s="320">
        <f>IF($U$124="sníž. přenesená",$N$124,0)</f>
        <v>0</v>
      </c>
      <c r="BI124" s="320">
        <f>IF($U$124="nulová",$N$124,0)</f>
        <v>0</v>
      </c>
      <c r="BJ124" s="240" t="s">
        <v>347</v>
      </c>
      <c r="BK124" s="320">
        <f>ROUND($L$124*$K$124,2)</f>
        <v>0</v>
      </c>
      <c r="BL124" s="240" t="s">
        <v>354</v>
      </c>
    </row>
    <row r="125" spans="2:64" s="240" customFormat="1" ht="27" customHeight="1">
      <c r="B125" s="247"/>
      <c r="C125" s="312" t="s">
        <v>358</v>
      </c>
      <c r="D125" s="312" t="s">
        <v>350</v>
      </c>
      <c r="E125" s="313" t="s">
        <v>359</v>
      </c>
      <c r="F125" s="442" t="s">
        <v>360</v>
      </c>
      <c r="G125" s="443"/>
      <c r="H125" s="443"/>
      <c r="I125" s="443"/>
      <c r="J125" s="314" t="s">
        <v>141</v>
      </c>
      <c r="K125" s="315">
        <v>10</v>
      </c>
      <c r="L125" s="444"/>
      <c r="M125" s="443"/>
      <c r="N125" s="444">
        <f>ROUND($L$125*$K$125,2)</f>
        <v>0</v>
      </c>
      <c r="O125" s="443"/>
      <c r="P125" s="443"/>
      <c r="Q125" s="443"/>
      <c r="R125" s="249"/>
      <c r="T125" s="316"/>
      <c r="U125" s="317" t="s">
        <v>298</v>
      </c>
      <c r="V125" s="318">
        <v>0.547</v>
      </c>
      <c r="W125" s="318">
        <f>$V$125*$K$125</f>
        <v>5.470000000000001</v>
      </c>
      <c r="X125" s="318">
        <v>0.0369</v>
      </c>
      <c r="Y125" s="318">
        <f>$X$125*$K$125</f>
        <v>0.369</v>
      </c>
      <c r="Z125" s="318">
        <v>0</v>
      </c>
      <c r="AA125" s="319">
        <f>$Z$125*$K$125</f>
        <v>0</v>
      </c>
      <c r="AR125" s="240" t="s">
        <v>354</v>
      </c>
      <c r="AT125" s="240" t="s">
        <v>350</v>
      </c>
      <c r="AU125" s="240" t="s">
        <v>260</v>
      </c>
      <c r="AY125" s="240" t="s">
        <v>349</v>
      </c>
      <c r="BE125" s="320">
        <f>IF($U$125="základní",$N$125,0)</f>
        <v>0</v>
      </c>
      <c r="BF125" s="320">
        <f>IF($U$125="snížená",$N$125,0)</f>
        <v>0</v>
      </c>
      <c r="BG125" s="320">
        <f>IF($U$125="zákl. přenesená",$N$125,0)</f>
        <v>0</v>
      </c>
      <c r="BH125" s="320">
        <f>IF($U$125="sníž. přenesená",$N$125,0)</f>
        <v>0</v>
      </c>
      <c r="BI125" s="320">
        <f>IF($U$125="nulová",$N$125,0)</f>
        <v>0</v>
      </c>
      <c r="BJ125" s="240" t="s">
        <v>347</v>
      </c>
      <c r="BK125" s="320">
        <f>ROUND($L$125*$K$125,2)</f>
        <v>0</v>
      </c>
      <c r="BL125" s="240" t="s">
        <v>354</v>
      </c>
    </row>
    <row r="126" spans="2:64" s="240" customFormat="1" ht="27" customHeight="1">
      <c r="B126" s="247"/>
      <c r="C126" s="312" t="s">
        <v>354</v>
      </c>
      <c r="D126" s="312" t="s">
        <v>350</v>
      </c>
      <c r="E126" s="313" t="s">
        <v>361</v>
      </c>
      <c r="F126" s="442" t="s">
        <v>362</v>
      </c>
      <c r="G126" s="443"/>
      <c r="H126" s="443"/>
      <c r="I126" s="443"/>
      <c r="J126" s="314" t="s">
        <v>229</v>
      </c>
      <c r="K126" s="315">
        <v>45</v>
      </c>
      <c r="L126" s="444"/>
      <c r="M126" s="443"/>
      <c r="N126" s="444">
        <f>ROUND($L$126*$K$126,2)</f>
        <v>0</v>
      </c>
      <c r="O126" s="443"/>
      <c r="P126" s="443"/>
      <c r="Q126" s="443"/>
      <c r="R126" s="249"/>
      <c r="T126" s="316"/>
      <c r="U126" s="317" t="s">
        <v>298</v>
      </c>
      <c r="V126" s="318">
        <v>1.548</v>
      </c>
      <c r="W126" s="318">
        <f>$V$126*$K$126</f>
        <v>69.66</v>
      </c>
      <c r="X126" s="318">
        <v>0</v>
      </c>
      <c r="Y126" s="318">
        <f>$X$126*$K$126</f>
        <v>0</v>
      </c>
      <c r="Z126" s="318">
        <v>0</v>
      </c>
      <c r="AA126" s="319">
        <f>$Z$126*$K$126</f>
        <v>0</v>
      </c>
      <c r="AR126" s="240" t="s">
        <v>354</v>
      </c>
      <c r="AT126" s="240" t="s">
        <v>350</v>
      </c>
      <c r="AU126" s="240" t="s">
        <v>260</v>
      </c>
      <c r="AY126" s="240" t="s">
        <v>349</v>
      </c>
      <c r="BE126" s="320">
        <f>IF($U$126="základní",$N$126,0)</f>
        <v>0</v>
      </c>
      <c r="BF126" s="320">
        <f>IF($U$126="snížená",$N$126,0)</f>
        <v>0</v>
      </c>
      <c r="BG126" s="320">
        <f>IF($U$126="zákl. přenesená",$N$126,0)</f>
        <v>0</v>
      </c>
      <c r="BH126" s="320">
        <f>IF($U$126="sníž. přenesená",$N$126,0)</f>
        <v>0</v>
      </c>
      <c r="BI126" s="320">
        <f>IF($U$126="nulová",$N$126,0)</f>
        <v>0</v>
      </c>
      <c r="BJ126" s="240" t="s">
        <v>347</v>
      </c>
      <c r="BK126" s="320">
        <f>ROUND($L$126*$K$126,2)</f>
        <v>0</v>
      </c>
      <c r="BL126" s="240" t="s">
        <v>354</v>
      </c>
    </row>
    <row r="127" spans="2:64" s="240" customFormat="1" ht="27" customHeight="1">
      <c r="B127" s="247"/>
      <c r="C127" s="312" t="s">
        <v>363</v>
      </c>
      <c r="D127" s="312" t="s">
        <v>350</v>
      </c>
      <c r="E127" s="313" t="s">
        <v>364</v>
      </c>
      <c r="F127" s="442" t="s">
        <v>365</v>
      </c>
      <c r="G127" s="443"/>
      <c r="H127" s="443"/>
      <c r="I127" s="443"/>
      <c r="J127" s="314" t="s">
        <v>229</v>
      </c>
      <c r="K127" s="315">
        <v>251.081</v>
      </c>
      <c r="L127" s="444"/>
      <c r="M127" s="443"/>
      <c r="N127" s="444">
        <f>ROUND($L$127*$K$127,2)</f>
        <v>0</v>
      </c>
      <c r="O127" s="443"/>
      <c r="P127" s="443"/>
      <c r="Q127" s="443"/>
      <c r="R127" s="249"/>
      <c r="T127" s="316"/>
      <c r="U127" s="317" t="s">
        <v>298</v>
      </c>
      <c r="V127" s="318">
        <v>0.844</v>
      </c>
      <c r="W127" s="318">
        <f>$V$127*$K$127</f>
        <v>211.912364</v>
      </c>
      <c r="X127" s="318">
        <v>0</v>
      </c>
      <c r="Y127" s="318">
        <f>$X$127*$K$127</f>
        <v>0</v>
      </c>
      <c r="Z127" s="318">
        <v>0</v>
      </c>
      <c r="AA127" s="319">
        <f>$Z$127*$K$127</f>
        <v>0</v>
      </c>
      <c r="AR127" s="240" t="s">
        <v>354</v>
      </c>
      <c r="AT127" s="240" t="s">
        <v>350</v>
      </c>
      <c r="AU127" s="240" t="s">
        <v>260</v>
      </c>
      <c r="AY127" s="240" t="s">
        <v>349</v>
      </c>
      <c r="BE127" s="320">
        <f>IF($U$127="základní",$N$127,0)</f>
        <v>0</v>
      </c>
      <c r="BF127" s="320">
        <f>IF($U$127="snížená",$N$127,0)</f>
        <v>0</v>
      </c>
      <c r="BG127" s="320">
        <f>IF($U$127="zákl. přenesená",$N$127,0)</f>
        <v>0</v>
      </c>
      <c r="BH127" s="320">
        <f>IF($U$127="sníž. přenesená",$N$127,0)</f>
        <v>0</v>
      </c>
      <c r="BI127" s="320">
        <f>IF($U$127="nulová",$N$127,0)</f>
        <v>0</v>
      </c>
      <c r="BJ127" s="240" t="s">
        <v>347</v>
      </c>
      <c r="BK127" s="320">
        <f>ROUND($L$127*$K$127,2)</f>
        <v>0</v>
      </c>
      <c r="BL127" s="240" t="s">
        <v>354</v>
      </c>
    </row>
    <row r="128" spans="2:64" s="240" customFormat="1" ht="27" customHeight="1">
      <c r="B128" s="247"/>
      <c r="C128" s="312" t="s">
        <v>366</v>
      </c>
      <c r="D128" s="312" t="s">
        <v>350</v>
      </c>
      <c r="E128" s="313" t="s">
        <v>367</v>
      </c>
      <c r="F128" s="442" t="s">
        <v>368</v>
      </c>
      <c r="G128" s="443"/>
      <c r="H128" s="443"/>
      <c r="I128" s="443"/>
      <c r="J128" s="314" t="s">
        <v>229</v>
      </c>
      <c r="K128" s="315">
        <v>125.541</v>
      </c>
      <c r="L128" s="444"/>
      <c r="M128" s="443"/>
      <c r="N128" s="444">
        <f>ROUND($L$128*$K$128,2)</f>
        <v>0</v>
      </c>
      <c r="O128" s="443"/>
      <c r="P128" s="443"/>
      <c r="Q128" s="443"/>
      <c r="R128" s="249"/>
      <c r="T128" s="316"/>
      <c r="U128" s="317" t="s">
        <v>298</v>
      </c>
      <c r="V128" s="318">
        <v>0.085</v>
      </c>
      <c r="W128" s="318">
        <f>$V$128*$K$128</f>
        <v>10.670985</v>
      </c>
      <c r="X128" s="318">
        <v>0</v>
      </c>
      <c r="Y128" s="318">
        <f>$X$128*$K$128</f>
        <v>0</v>
      </c>
      <c r="Z128" s="318">
        <v>0</v>
      </c>
      <c r="AA128" s="319">
        <f>$Z$128*$K$128</f>
        <v>0</v>
      </c>
      <c r="AR128" s="240" t="s">
        <v>354</v>
      </c>
      <c r="AT128" s="240" t="s">
        <v>350</v>
      </c>
      <c r="AU128" s="240" t="s">
        <v>260</v>
      </c>
      <c r="AY128" s="240" t="s">
        <v>349</v>
      </c>
      <c r="BE128" s="320">
        <f>IF($U$128="základní",$N$128,0)</f>
        <v>0</v>
      </c>
      <c r="BF128" s="320">
        <f>IF($U$128="snížená",$N$128,0)</f>
        <v>0</v>
      </c>
      <c r="BG128" s="320">
        <f>IF($U$128="zákl. přenesená",$N$128,0)</f>
        <v>0</v>
      </c>
      <c r="BH128" s="320">
        <f>IF($U$128="sníž. přenesená",$N$128,0)</f>
        <v>0</v>
      </c>
      <c r="BI128" s="320">
        <f>IF($U$128="nulová",$N$128,0)</f>
        <v>0</v>
      </c>
      <c r="BJ128" s="240" t="s">
        <v>347</v>
      </c>
      <c r="BK128" s="320">
        <f>ROUND($L$128*$K$128,2)</f>
        <v>0</v>
      </c>
      <c r="BL128" s="240" t="s">
        <v>354</v>
      </c>
    </row>
    <row r="129" spans="2:64" s="240" customFormat="1" ht="27" customHeight="1">
      <c r="B129" s="247"/>
      <c r="C129" s="312" t="s">
        <v>369</v>
      </c>
      <c r="D129" s="312" t="s">
        <v>350</v>
      </c>
      <c r="E129" s="313" t="s">
        <v>370</v>
      </c>
      <c r="F129" s="442" t="s">
        <v>371</v>
      </c>
      <c r="G129" s="443"/>
      <c r="H129" s="443"/>
      <c r="I129" s="443"/>
      <c r="J129" s="314" t="s">
        <v>229</v>
      </c>
      <c r="K129" s="315">
        <v>167.387</v>
      </c>
      <c r="L129" s="444"/>
      <c r="M129" s="443"/>
      <c r="N129" s="444">
        <f>ROUND($L$129*$K$129,2)</f>
        <v>0</v>
      </c>
      <c r="O129" s="443"/>
      <c r="P129" s="443"/>
      <c r="Q129" s="443"/>
      <c r="R129" s="249"/>
      <c r="T129" s="316"/>
      <c r="U129" s="317" t="s">
        <v>298</v>
      </c>
      <c r="V129" s="318">
        <v>1.387</v>
      </c>
      <c r="W129" s="318">
        <f>$V$129*$K$129</f>
        <v>232.165769</v>
      </c>
      <c r="X129" s="318">
        <v>0</v>
      </c>
      <c r="Y129" s="318">
        <f>$X$129*$K$129</f>
        <v>0</v>
      </c>
      <c r="Z129" s="318">
        <v>0</v>
      </c>
      <c r="AA129" s="319">
        <f>$Z$129*$K$129</f>
        <v>0</v>
      </c>
      <c r="AR129" s="240" t="s">
        <v>354</v>
      </c>
      <c r="AT129" s="240" t="s">
        <v>350</v>
      </c>
      <c r="AU129" s="240" t="s">
        <v>260</v>
      </c>
      <c r="AY129" s="240" t="s">
        <v>349</v>
      </c>
      <c r="BE129" s="320">
        <f>IF($U$129="základní",$N$129,0)</f>
        <v>0</v>
      </c>
      <c r="BF129" s="320">
        <f>IF($U$129="snížená",$N$129,0)</f>
        <v>0</v>
      </c>
      <c r="BG129" s="320">
        <f>IF($U$129="zákl. přenesená",$N$129,0)</f>
        <v>0</v>
      </c>
      <c r="BH129" s="320">
        <f>IF($U$129="sníž. přenesená",$N$129,0)</f>
        <v>0</v>
      </c>
      <c r="BI129" s="320">
        <f>IF($U$129="nulová",$N$129,0)</f>
        <v>0</v>
      </c>
      <c r="BJ129" s="240" t="s">
        <v>347</v>
      </c>
      <c r="BK129" s="320">
        <f>ROUND($L$129*$K$129,2)</f>
        <v>0</v>
      </c>
      <c r="BL129" s="240" t="s">
        <v>354</v>
      </c>
    </row>
    <row r="130" spans="2:64" s="240" customFormat="1" ht="27" customHeight="1">
      <c r="B130" s="247"/>
      <c r="C130" s="312" t="s">
        <v>372</v>
      </c>
      <c r="D130" s="312" t="s">
        <v>350</v>
      </c>
      <c r="E130" s="313" t="s">
        <v>373</v>
      </c>
      <c r="F130" s="442" t="s">
        <v>374</v>
      </c>
      <c r="G130" s="443"/>
      <c r="H130" s="443"/>
      <c r="I130" s="443"/>
      <c r="J130" s="314" t="s">
        <v>229</v>
      </c>
      <c r="K130" s="315">
        <v>83.694</v>
      </c>
      <c r="L130" s="444"/>
      <c r="M130" s="443"/>
      <c r="N130" s="444">
        <f>ROUND($L$130*$K$130,2)</f>
        <v>0</v>
      </c>
      <c r="O130" s="443"/>
      <c r="P130" s="443"/>
      <c r="Q130" s="443"/>
      <c r="R130" s="249"/>
      <c r="T130" s="316"/>
      <c r="U130" s="317" t="s">
        <v>298</v>
      </c>
      <c r="V130" s="318">
        <v>0.152</v>
      </c>
      <c r="W130" s="318">
        <f>$V$130*$K$130</f>
        <v>12.721488</v>
      </c>
      <c r="X130" s="318">
        <v>0</v>
      </c>
      <c r="Y130" s="318">
        <f>$X$130*$K$130</f>
        <v>0</v>
      </c>
      <c r="Z130" s="318">
        <v>0</v>
      </c>
      <c r="AA130" s="319">
        <f>$Z$130*$K$130</f>
        <v>0</v>
      </c>
      <c r="AR130" s="240" t="s">
        <v>354</v>
      </c>
      <c r="AT130" s="240" t="s">
        <v>350</v>
      </c>
      <c r="AU130" s="240" t="s">
        <v>260</v>
      </c>
      <c r="AY130" s="240" t="s">
        <v>349</v>
      </c>
      <c r="BE130" s="320">
        <f>IF($U$130="základní",$N$130,0)</f>
        <v>0</v>
      </c>
      <c r="BF130" s="320">
        <f>IF($U$130="snížená",$N$130,0)</f>
        <v>0</v>
      </c>
      <c r="BG130" s="320">
        <f>IF($U$130="zákl. přenesená",$N$130,0)</f>
        <v>0</v>
      </c>
      <c r="BH130" s="320">
        <f>IF($U$130="sníž. přenesená",$N$130,0)</f>
        <v>0</v>
      </c>
      <c r="BI130" s="320">
        <f>IF($U$130="nulová",$N$130,0)</f>
        <v>0</v>
      </c>
      <c r="BJ130" s="240" t="s">
        <v>347</v>
      </c>
      <c r="BK130" s="320">
        <f>ROUND($L$130*$K$130,2)</f>
        <v>0</v>
      </c>
      <c r="BL130" s="240" t="s">
        <v>354</v>
      </c>
    </row>
    <row r="131" spans="2:64" s="240" customFormat="1" ht="27" customHeight="1">
      <c r="B131" s="247"/>
      <c r="C131" s="312" t="s">
        <v>375</v>
      </c>
      <c r="D131" s="312" t="s">
        <v>350</v>
      </c>
      <c r="E131" s="313" t="s">
        <v>376</v>
      </c>
      <c r="F131" s="442" t="s">
        <v>377</v>
      </c>
      <c r="G131" s="443"/>
      <c r="H131" s="443"/>
      <c r="I131" s="443"/>
      <c r="J131" s="314" t="s">
        <v>140</v>
      </c>
      <c r="K131" s="315">
        <v>36</v>
      </c>
      <c r="L131" s="444"/>
      <c r="M131" s="443"/>
      <c r="N131" s="444">
        <f>ROUND($L$131*$K$131,2)</f>
        <v>0</v>
      </c>
      <c r="O131" s="443"/>
      <c r="P131" s="443"/>
      <c r="Q131" s="443"/>
      <c r="R131" s="249"/>
      <c r="T131" s="316"/>
      <c r="U131" s="317" t="s">
        <v>298</v>
      </c>
      <c r="V131" s="318">
        <v>0.934</v>
      </c>
      <c r="W131" s="318">
        <f>$V$131*$K$131</f>
        <v>33.624</v>
      </c>
      <c r="X131" s="318">
        <v>0.00628</v>
      </c>
      <c r="Y131" s="318">
        <f>$X$131*$K$131</f>
        <v>0.22608</v>
      </c>
      <c r="Z131" s="318">
        <v>0</v>
      </c>
      <c r="AA131" s="319">
        <f>$Z$131*$K$131</f>
        <v>0</v>
      </c>
      <c r="AR131" s="240" t="s">
        <v>354</v>
      </c>
      <c r="AT131" s="240" t="s">
        <v>350</v>
      </c>
      <c r="AU131" s="240" t="s">
        <v>260</v>
      </c>
      <c r="AY131" s="240" t="s">
        <v>349</v>
      </c>
      <c r="BE131" s="320">
        <f>IF($U$131="základní",$N$131,0)</f>
        <v>0</v>
      </c>
      <c r="BF131" s="320">
        <f>IF($U$131="snížená",$N$131,0)</f>
        <v>0</v>
      </c>
      <c r="BG131" s="320">
        <f>IF($U$131="zákl. přenesená",$N$131,0)</f>
        <v>0</v>
      </c>
      <c r="BH131" s="320">
        <f>IF($U$131="sníž. přenesená",$N$131,0)</f>
        <v>0</v>
      </c>
      <c r="BI131" s="320">
        <f>IF($U$131="nulová",$N$131,0)</f>
        <v>0</v>
      </c>
      <c r="BJ131" s="240" t="s">
        <v>347</v>
      </c>
      <c r="BK131" s="320">
        <f>ROUND($L$131*$K$131,2)</f>
        <v>0</v>
      </c>
      <c r="BL131" s="240" t="s">
        <v>354</v>
      </c>
    </row>
    <row r="132" spans="2:64" s="240" customFormat="1" ht="27" customHeight="1">
      <c r="B132" s="247"/>
      <c r="C132" s="312" t="s">
        <v>378</v>
      </c>
      <c r="D132" s="312" t="s">
        <v>350</v>
      </c>
      <c r="E132" s="313" t="s">
        <v>379</v>
      </c>
      <c r="F132" s="442" t="s">
        <v>380</v>
      </c>
      <c r="G132" s="443"/>
      <c r="H132" s="443"/>
      <c r="I132" s="443"/>
      <c r="J132" s="314" t="s">
        <v>140</v>
      </c>
      <c r="K132" s="315">
        <v>36</v>
      </c>
      <c r="L132" s="444"/>
      <c r="M132" s="443"/>
      <c r="N132" s="444">
        <f>ROUND($L$132*$K$132,2)</f>
        <v>0</v>
      </c>
      <c r="O132" s="443"/>
      <c r="P132" s="443"/>
      <c r="Q132" s="443"/>
      <c r="R132" s="249"/>
      <c r="T132" s="316"/>
      <c r="U132" s="317" t="s">
        <v>298</v>
      </c>
      <c r="V132" s="318">
        <v>0.483</v>
      </c>
      <c r="W132" s="318">
        <f>$V$132*$K$132</f>
        <v>17.387999999999998</v>
      </c>
      <c r="X132" s="318">
        <v>0</v>
      </c>
      <c r="Y132" s="318">
        <f>$X$132*$K$132</f>
        <v>0</v>
      </c>
      <c r="Z132" s="318">
        <v>0</v>
      </c>
      <c r="AA132" s="319">
        <f>$Z$132*$K$132</f>
        <v>0</v>
      </c>
      <c r="AR132" s="240" t="s">
        <v>354</v>
      </c>
      <c r="AT132" s="240" t="s">
        <v>350</v>
      </c>
      <c r="AU132" s="240" t="s">
        <v>260</v>
      </c>
      <c r="AY132" s="240" t="s">
        <v>349</v>
      </c>
      <c r="BE132" s="320">
        <f>IF($U$132="základní",$N$132,0)</f>
        <v>0</v>
      </c>
      <c r="BF132" s="320">
        <f>IF($U$132="snížená",$N$132,0)</f>
        <v>0</v>
      </c>
      <c r="BG132" s="320">
        <f>IF($U$132="zákl. přenesená",$N$132,0)</f>
        <v>0</v>
      </c>
      <c r="BH132" s="320">
        <f>IF($U$132="sníž. přenesená",$N$132,0)</f>
        <v>0</v>
      </c>
      <c r="BI132" s="320">
        <f>IF($U$132="nulová",$N$132,0)</f>
        <v>0</v>
      </c>
      <c r="BJ132" s="240" t="s">
        <v>347</v>
      </c>
      <c r="BK132" s="320">
        <f>ROUND($L$132*$K$132,2)</f>
        <v>0</v>
      </c>
      <c r="BL132" s="240" t="s">
        <v>354</v>
      </c>
    </row>
    <row r="133" spans="2:64" s="240" customFormat="1" ht="27" customHeight="1">
      <c r="B133" s="247"/>
      <c r="C133" s="312" t="s">
        <v>381</v>
      </c>
      <c r="D133" s="312" t="s">
        <v>350</v>
      </c>
      <c r="E133" s="313" t="s">
        <v>382</v>
      </c>
      <c r="F133" s="442" t="s">
        <v>383</v>
      </c>
      <c r="G133" s="443"/>
      <c r="H133" s="443"/>
      <c r="I133" s="443"/>
      <c r="J133" s="314" t="s">
        <v>229</v>
      </c>
      <c r="K133" s="315">
        <v>18</v>
      </c>
      <c r="L133" s="444"/>
      <c r="M133" s="443"/>
      <c r="N133" s="444">
        <f>ROUND($L$133*$K$133,2)</f>
        <v>0</v>
      </c>
      <c r="O133" s="443"/>
      <c r="P133" s="443"/>
      <c r="Q133" s="443"/>
      <c r="R133" s="249"/>
      <c r="T133" s="316"/>
      <c r="U133" s="317" t="s">
        <v>298</v>
      </c>
      <c r="V133" s="318">
        <v>0.186</v>
      </c>
      <c r="W133" s="318">
        <f>$V$133*$K$133</f>
        <v>3.348</v>
      </c>
      <c r="X133" s="318">
        <v>0.00272</v>
      </c>
      <c r="Y133" s="318">
        <f>$X$133*$K$133</f>
        <v>0.048960000000000004</v>
      </c>
      <c r="Z133" s="318">
        <v>0</v>
      </c>
      <c r="AA133" s="319">
        <f>$Z$133*$K$133</f>
        <v>0</v>
      </c>
      <c r="AR133" s="240" t="s">
        <v>354</v>
      </c>
      <c r="AT133" s="240" t="s">
        <v>350</v>
      </c>
      <c r="AU133" s="240" t="s">
        <v>260</v>
      </c>
      <c r="AY133" s="240" t="s">
        <v>349</v>
      </c>
      <c r="BE133" s="320">
        <f>IF($U$133="základní",$N$133,0)</f>
        <v>0</v>
      </c>
      <c r="BF133" s="320">
        <f>IF($U$133="snížená",$N$133,0)</f>
        <v>0</v>
      </c>
      <c r="BG133" s="320">
        <f>IF($U$133="zákl. přenesená",$N$133,0)</f>
        <v>0</v>
      </c>
      <c r="BH133" s="320">
        <f>IF($U$133="sníž. přenesená",$N$133,0)</f>
        <v>0</v>
      </c>
      <c r="BI133" s="320">
        <f>IF($U$133="nulová",$N$133,0)</f>
        <v>0</v>
      </c>
      <c r="BJ133" s="240" t="s">
        <v>347</v>
      </c>
      <c r="BK133" s="320">
        <f>ROUND($L$133*$K$133,2)</f>
        <v>0</v>
      </c>
      <c r="BL133" s="240" t="s">
        <v>354</v>
      </c>
    </row>
    <row r="134" spans="2:64" s="240" customFormat="1" ht="27" customHeight="1">
      <c r="B134" s="247"/>
      <c r="C134" s="312" t="s">
        <v>384</v>
      </c>
      <c r="D134" s="312" t="s">
        <v>350</v>
      </c>
      <c r="E134" s="313" t="s">
        <v>385</v>
      </c>
      <c r="F134" s="442" t="s">
        <v>386</v>
      </c>
      <c r="G134" s="443"/>
      <c r="H134" s="443"/>
      <c r="I134" s="443"/>
      <c r="J134" s="314" t="s">
        <v>229</v>
      </c>
      <c r="K134" s="315">
        <v>18</v>
      </c>
      <c r="L134" s="444"/>
      <c r="M134" s="443"/>
      <c r="N134" s="444">
        <f>ROUND($L$134*$K$134,2)</f>
        <v>0</v>
      </c>
      <c r="O134" s="443"/>
      <c r="P134" s="443"/>
      <c r="Q134" s="443"/>
      <c r="R134" s="249"/>
      <c r="T134" s="316"/>
      <c r="U134" s="317" t="s">
        <v>298</v>
      </c>
      <c r="V134" s="318">
        <v>0.058</v>
      </c>
      <c r="W134" s="318">
        <f>$V$134*$K$134</f>
        <v>1.044</v>
      </c>
      <c r="X134" s="318">
        <v>0</v>
      </c>
      <c r="Y134" s="318">
        <f>$X$134*$K$134</f>
        <v>0</v>
      </c>
      <c r="Z134" s="318">
        <v>0</v>
      </c>
      <c r="AA134" s="319">
        <f>$Z$134*$K$134</f>
        <v>0</v>
      </c>
      <c r="AR134" s="240" t="s">
        <v>354</v>
      </c>
      <c r="AT134" s="240" t="s">
        <v>350</v>
      </c>
      <c r="AU134" s="240" t="s">
        <v>260</v>
      </c>
      <c r="AY134" s="240" t="s">
        <v>349</v>
      </c>
      <c r="BE134" s="320">
        <f>IF($U$134="základní",$N$134,0)</f>
        <v>0</v>
      </c>
      <c r="BF134" s="320">
        <f>IF($U$134="snížená",$N$134,0)</f>
        <v>0</v>
      </c>
      <c r="BG134" s="320">
        <f>IF($U$134="zákl. přenesená",$N$134,0)</f>
        <v>0</v>
      </c>
      <c r="BH134" s="320">
        <f>IF($U$134="sníž. přenesená",$N$134,0)</f>
        <v>0</v>
      </c>
      <c r="BI134" s="320">
        <f>IF($U$134="nulová",$N$134,0)</f>
        <v>0</v>
      </c>
      <c r="BJ134" s="240" t="s">
        <v>347</v>
      </c>
      <c r="BK134" s="320">
        <f>ROUND($L$134*$K$134,2)</f>
        <v>0</v>
      </c>
      <c r="BL134" s="240" t="s">
        <v>354</v>
      </c>
    </row>
    <row r="135" spans="2:64" s="240" customFormat="1" ht="27" customHeight="1">
      <c r="B135" s="247"/>
      <c r="C135" s="312" t="s">
        <v>387</v>
      </c>
      <c r="D135" s="312" t="s">
        <v>350</v>
      </c>
      <c r="E135" s="313" t="s">
        <v>388</v>
      </c>
      <c r="F135" s="442" t="s">
        <v>389</v>
      </c>
      <c r="G135" s="443"/>
      <c r="H135" s="443"/>
      <c r="I135" s="443"/>
      <c r="J135" s="314" t="s">
        <v>140</v>
      </c>
      <c r="K135" s="315">
        <v>560</v>
      </c>
      <c r="L135" s="444"/>
      <c r="M135" s="443"/>
      <c r="N135" s="444">
        <f>ROUND($L$135*$K$135,2)</f>
        <v>0</v>
      </c>
      <c r="O135" s="443"/>
      <c r="P135" s="443"/>
      <c r="Q135" s="443"/>
      <c r="R135" s="249"/>
      <c r="T135" s="316"/>
      <c r="U135" s="317" t="s">
        <v>298</v>
      </c>
      <c r="V135" s="318">
        <v>0.259</v>
      </c>
      <c r="W135" s="318">
        <f>$V$135*$K$135</f>
        <v>145.04</v>
      </c>
      <c r="X135" s="318">
        <v>0</v>
      </c>
      <c r="Y135" s="318">
        <f>$X$135*$K$135</f>
        <v>0</v>
      </c>
      <c r="Z135" s="318">
        <v>0</v>
      </c>
      <c r="AA135" s="319">
        <f>$Z$135*$K$135</f>
        <v>0</v>
      </c>
      <c r="AR135" s="240" t="s">
        <v>354</v>
      </c>
      <c r="AT135" s="240" t="s">
        <v>350</v>
      </c>
      <c r="AU135" s="240" t="s">
        <v>260</v>
      </c>
      <c r="AY135" s="240" t="s">
        <v>349</v>
      </c>
      <c r="BE135" s="320">
        <f>IF($U$135="základní",$N$135,0)</f>
        <v>0</v>
      </c>
      <c r="BF135" s="320">
        <f>IF($U$135="snížená",$N$135,0)</f>
        <v>0</v>
      </c>
      <c r="BG135" s="320">
        <f>IF($U$135="zákl. přenesená",$N$135,0)</f>
        <v>0</v>
      </c>
      <c r="BH135" s="320">
        <f>IF($U$135="sníž. přenesená",$N$135,0)</f>
        <v>0</v>
      </c>
      <c r="BI135" s="320">
        <f>IF($U$135="nulová",$N$135,0)</f>
        <v>0</v>
      </c>
      <c r="BJ135" s="240" t="s">
        <v>347</v>
      </c>
      <c r="BK135" s="320">
        <f>ROUND($L$135*$K$135,2)</f>
        <v>0</v>
      </c>
      <c r="BL135" s="240" t="s">
        <v>354</v>
      </c>
    </row>
    <row r="136" spans="2:64" s="240" customFormat="1" ht="27" customHeight="1">
      <c r="B136" s="247"/>
      <c r="C136" s="312" t="s">
        <v>390</v>
      </c>
      <c r="D136" s="312" t="s">
        <v>350</v>
      </c>
      <c r="E136" s="313" t="s">
        <v>391</v>
      </c>
      <c r="F136" s="442" t="s">
        <v>392</v>
      </c>
      <c r="G136" s="443"/>
      <c r="H136" s="443"/>
      <c r="I136" s="443"/>
      <c r="J136" s="314" t="s">
        <v>140</v>
      </c>
      <c r="K136" s="315">
        <v>38.25</v>
      </c>
      <c r="L136" s="444"/>
      <c r="M136" s="443"/>
      <c r="N136" s="444">
        <f>ROUND($L$136*$K$136,2)</f>
        <v>0</v>
      </c>
      <c r="O136" s="443"/>
      <c r="P136" s="443"/>
      <c r="Q136" s="443"/>
      <c r="R136" s="249"/>
      <c r="T136" s="316"/>
      <c r="U136" s="317" t="s">
        <v>298</v>
      </c>
      <c r="V136" s="318">
        <v>0.252</v>
      </c>
      <c r="W136" s="318">
        <f>$V$136*$K$136</f>
        <v>9.639</v>
      </c>
      <c r="X136" s="318">
        <v>0</v>
      </c>
      <c r="Y136" s="318">
        <f>$X$136*$K$136</f>
        <v>0</v>
      </c>
      <c r="Z136" s="318">
        <v>0</v>
      </c>
      <c r="AA136" s="319">
        <f>$Z$136*$K$136</f>
        <v>0</v>
      </c>
      <c r="AR136" s="240" t="s">
        <v>354</v>
      </c>
      <c r="AT136" s="240" t="s">
        <v>350</v>
      </c>
      <c r="AU136" s="240" t="s">
        <v>260</v>
      </c>
      <c r="AY136" s="240" t="s">
        <v>349</v>
      </c>
      <c r="BE136" s="320">
        <f>IF($U$136="základní",$N$136,0)</f>
        <v>0</v>
      </c>
      <c r="BF136" s="320">
        <f>IF($U$136="snížená",$N$136,0)</f>
        <v>0</v>
      </c>
      <c r="BG136" s="320">
        <f>IF($U$136="zákl. přenesená",$N$136,0)</f>
        <v>0</v>
      </c>
      <c r="BH136" s="320">
        <f>IF($U$136="sníž. přenesená",$N$136,0)</f>
        <v>0</v>
      </c>
      <c r="BI136" s="320">
        <f>IF($U$136="nulová",$N$136,0)</f>
        <v>0</v>
      </c>
      <c r="BJ136" s="240" t="s">
        <v>347</v>
      </c>
      <c r="BK136" s="320">
        <f>ROUND($L$136*$K$136,2)</f>
        <v>0</v>
      </c>
      <c r="BL136" s="240" t="s">
        <v>354</v>
      </c>
    </row>
    <row r="137" spans="2:64" s="240" customFormat="1" ht="27" customHeight="1">
      <c r="B137" s="247"/>
      <c r="C137" s="312" t="s">
        <v>393</v>
      </c>
      <c r="D137" s="312" t="s">
        <v>350</v>
      </c>
      <c r="E137" s="313" t="s">
        <v>394</v>
      </c>
      <c r="F137" s="442" t="s">
        <v>395</v>
      </c>
      <c r="G137" s="443"/>
      <c r="H137" s="443"/>
      <c r="I137" s="443"/>
      <c r="J137" s="314" t="s">
        <v>229</v>
      </c>
      <c r="K137" s="315">
        <v>418.468</v>
      </c>
      <c r="L137" s="444"/>
      <c r="M137" s="443"/>
      <c r="N137" s="444">
        <f>ROUND($L$137*$K$137,2)</f>
        <v>0</v>
      </c>
      <c r="O137" s="443"/>
      <c r="P137" s="443"/>
      <c r="Q137" s="443"/>
      <c r="R137" s="249"/>
      <c r="T137" s="316"/>
      <c r="U137" s="317" t="s">
        <v>298</v>
      </c>
      <c r="V137" s="318">
        <v>0.083</v>
      </c>
      <c r="W137" s="318">
        <f>$V$137*$K$137</f>
        <v>34.732844</v>
      </c>
      <c r="X137" s="318">
        <v>0</v>
      </c>
      <c r="Y137" s="318">
        <f>$X$137*$K$137</f>
        <v>0</v>
      </c>
      <c r="Z137" s="318">
        <v>0</v>
      </c>
      <c r="AA137" s="319">
        <f>$Z$137*$K$137</f>
        <v>0</v>
      </c>
      <c r="AR137" s="240" t="s">
        <v>354</v>
      </c>
      <c r="AT137" s="240" t="s">
        <v>350</v>
      </c>
      <c r="AU137" s="240" t="s">
        <v>260</v>
      </c>
      <c r="AY137" s="240" t="s">
        <v>349</v>
      </c>
      <c r="BE137" s="320">
        <f>IF($U$137="základní",$N$137,0)</f>
        <v>0</v>
      </c>
      <c r="BF137" s="320">
        <f>IF($U$137="snížená",$N$137,0)</f>
        <v>0</v>
      </c>
      <c r="BG137" s="320">
        <f>IF($U$137="zákl. přenesená",$N$137,0)</f>
        <v>0</v>
      </c>
      <c r="BH137" s="320">
        <f>IF($U$137="sníž. přenesená",$N$137,0)</f>
        <v>0</v>
      </c>
      <c r="BI137" s="320">
        <f>IF($U$137="nulová",$N$137,0)</f>
        <v>0</v>
      </c>
      <c r="BJ137" s="240" t="s">
        <v>347</v>
      </c>
      <c r="BK137" s="320">
        <f>ROUND($L$137*$K$137,2)</f>
        <v>0</v>
      </c>
      <c r="BL137" s="240" t="s">
        <v>354</v>
      </c>
    </row>
    <row r="138" spans="2:64" s="240" customFormat="1" ht="27" customHeight="1">
      <c r="B138" s="247"/>
      <c r="C138" s="312" t="s">
        <v>396</v>
      </c>
      <c r="D138" s="312" t="s">
        <v>350</v>
      </c>
      <c r="E138" s="313" t="s">
        <v>397</v>
      </c>
      <c r="F138" s="442" t="s">
        <v>398</v>
      </c>
      <c r="G138" s="443"/>
      <c r="H138" s="443"/>
      <c r="I138" s="443"/>
      <c r="J138" s="314" t="s">
        <v>229</v>
      </c>
      <c r="K138" s="315">
        <v>418.468</v>
      </c>
      <c r="L138" s="444"/>
      <c r="M138" s="443"/>
      <c r="N138" s="444">
        <f>ROUND($L$138*$K$138,2)</f>
        <v>0</v>
      </c>
      <c r="O138" s="443"/>
      <c r="P138" s="443"/>
      <c r="Q138" s="443"/>
      <c r="R138" s="249"/>
      <c r="T138" s="316"/>
      <c r="U138" s="317" t="s">
        <v>298</v>
      </c>
      <c r="V138" s="318">
        <v>0.097</v>
      </c>
      <c r="W138" s="318">
        <f>$V$138*$K$138</f>
        <v>40.591396</v>
      </c>
      <c r="X138" s="318">
        <v>0</v>
      </c>
      <c r="Y138" s="318">
        <f>$X$138*$K$138</f>
        <v>0</v>
      </c>
      <c r="Z138" s="318">
        <v>0</v>
      </c>
      <c r="AA138" s="319">
        <f>$Z$138*$K$138</f>
        <v>0</v>
      </c>
      <c r="AR138" s="240" t="s">
        <v>354</v>
      </c>
      <c r="AT138" s="240" t="s">
        <v>350</v>
      </c>
      <c r="AU138" s="240" t="s">
        <v>260</v>
      </c>
      <c r="AY138" s="240" t="s">
        <v>349</v>
      </c>
      <c r="BE138" s="320">
        <f>IF($U$138="základní",$N$138,0)</f>
        <v>0</v>
      </c>
      <c r="BF138" s="320">
        <f>IF($U$138="snížená",$N$138,0)</f>
        <v>0</v>
      </c>
      <c r="BG138" s="320">
        <f>IF($U$138="zákl. přenesená",$N$138,0)</f>
        <v>0</v>
      </c>
      <c r="BH138" s="320">
        <f>IF($U$138="sníž. přenesená",$N$138,0)</f>
        <v>0</v>
      </c>
      <c r="BI138" s="320">
        <f>IF($U$138="nulová",$N$138,0)</f>
        <v>0</v>
      </c>
      <c r="BJ138" s="240" t="s">
        <v>347</v>
      </c>
      <c r="BK138" s="320">
        <f>ROUND($L$138*$K$138,2)</f>
        <v>0</v>
      </c>
      <c r="BL138" s="240" t="s">
        <v>354</v>
      </c>
    </row>
    <row r="139" spans="2:64" s="240" customFormat="1" ht="27" customHeight="1">
      <c r="B139" s="247"/>
      <c r="C139" s="312" t="s">
        <v>399</v>
      </c>
      <c r="D139" s="312" t="s">
        <v>350</v>
      </c>
      <c r="E139" s="313" t="s">
        <v>400</v>
      </c>
      <c r="F139" s="442" t="s">
        <v>401</v>
      </c>
      <c r="G139" s="443"/>
      <c r="H139" s="443"/>
      <c r="I139" s="443"/>
      <c r="J139" s="314" t="s">
        <v>229</v>
      </c>
      <c r="K139" s="315">
        <v>269.381</v>
      </c>
      <c r="L139" s="444"/>
      <c r="M139" s="443"/>
      <c r="N139" s="444">
        <f>ROUND($L$139*$K$139,2)</f>
        <v>0</v>
      </c>
      <c r="O139" s="443"/>
      <c r="P139" s="443"/>
      <c r="Q139" s="443"/>
      <c r="R139" s="249"/>
      <c r="T139" s="316"/>
      <c r="U139" s="317" t="s">
        <v>298</v>
      </c>
      <c r="V139" s="318">
        <v>0.299</v>
      </c>
      <c r="W139" s="318">
        <f>$V$139*$K$139</f>
        <v>80.544919</v>
      </c>
      <c r="X139" s="318">
        <v>0</v>
      </c>
      <c r="Y139" s="318">
        <f>$X$139*$K$139</f>
        <v>0</v>
      </c>
      <c r="Z139" s="318">
        <v>0</v>
      </c>
      <c r="AA139" s="319">
        <f>$Z$139*$K$139</f>
        <v>0</v>
      </c>
      <c r="AR139" s="240" t="s">
        <v>354</v>
      </c>
      <c r="AT139" s="240" t="s">
        <v>350</v>
      </c>
      <c r="AU139" s="240" t="s">
        <v>260</v>
      </c>
      <c r="AY139" s="240" t="s">
        <v>349</v>
      </c>
      <c r="BE139" s="320">
        <f>IF($U$139="základní",$N$139,0)</f>
        <v>0</v>
      </c>
      <c r="BF139" s="320">
        <f>IF($U$139="snížená",$N$139,0)</f>
        <v>0</v>
      </c>
      <c r="BG139" s="320">
        <f>IF($U$139="zákl. přenesená",$N$139,0)</f>
        <v>0</v>
      </c>
      <c r="BH139" s="320">
        <f>IF($U$139="sníž. přenesená",$N$139,0)</f>
        <v>0</v>
      </c>
      <c r="BI139" s="320">
        <f>IF($U$139="nulová",$N$139,0)</f>
        <v>0</v>
      </c>
      <c r="BJ139" s="240" t="s">
        <v>347</v>
      </c>
      <c r="BK139" s="320">
        <f>ROUND($L$139*$K$139,2)</f>
        <v>0</v>
      </c>
      <c r="BL139" s="240" t="s">
        <v>354</v>
      </c>
    </row>
    <row r="140" spans="2:64" s="240" customFormat="1" ht="15.75" customHeight="1">
      <c r="B140" s="247"/>
      <c r="C140" s="321" t="s">
        <v>402</v>
      </c>
      <c r="D140" s="321" t="s">
        <v>12</v>
      </c>
      <c r="E140" s="322" t="s">
        <v>403</v>
      </c>
      <c r="F140" s="445" t="s">
        <v>404</v>
      </c>
      <c r="G140" s="446"/>
      <c r="H140" s="446"/>
      <c r="I140" s="446"/>
      <c r="J140" s="323" t="s">
        <v>277</v>
      </c>
      <c r="K140" s="324">
        <v>484.886</v>
      </c>
      <c r="L140" s="447"/>
      <c r="M140" s="446"/>
      <c r="N140" s="447">
        <f>ROUND($L$140*$K$140,2)</f>
        <v>0</v>
      </c>
      <c r="O140" s="443"/>
      <c r="P140" s="443"/>
      <c r="Q140" s="443"/>
      <c r="R140" s="249"/>
      <c r="T140" s="316"/>
      <c r="U140" s="317" t="s">
        <v>298</v>
      </c>
      <c r="V140" s="318">
        <v>0</v>
      </c>
      <c r="W140" s="318">
        <f>$V$140*$K$140</f>
        <v>0</v>
      </c>
      <c r="X140" s="318">
        <v>1</v>
      </c>
      <c r="Y140" s="318">
        <f>$X$140*$K$140</f>
        <v>484.886</v>
      </c>
      <c r="Z140" s="318">
        <v>0</v>
      </c>
      <c r="AA140" s="319">
        <f>$Z$140*$K$140</f>
        <v>0</v>
      </c>
      <c r="AR140" s="240" t="s">
        <v>369</v>
      </c>
      <c r="AT140" s="240" t="s">
        <v>12</v>
      </c>
      <c r="AU140" s="240" t="s">
        <v>260</v>
      </c>
      <c r="AY140" s="240" t="s">
        <v>349</v>
      </c>
      <c r="BE140" s="320">
        <f>IF($U$140="základní",$N$140,0)</f>
        <v>0</v>
      </c>
      <c r="BF140" s="320">
        <f>IF($U$140="snížená",$N$140,0)</f>
        <v>0</v>
      </c>
      <c r="BG140" s="320">
        <f>IF($U$140="zákl. přenesená",$N$140,0)</f>
        <v>0</v>
      </c>
      <c r="BH140" s="320">
        <f>IF($U$140="sníž. přenesená",$N$140,0)</f>
        <v>0</v>
      </c>
      <c r="BI140" s="320">
        <f>IF($U$140="nulová",$N$140,0)</f>
        <v>0</v>
      </c>
      <c r="BJ140" s="240" t="s">
        <v>347</v>
      </c>
      <c r="BK140" s="320">
        <f>ROUND($L$140*$K$140,2)</f>
        <v>0</v>
      </c>
      <c r="BL140" s="240" t="s">
        <v>354</v>
      </c>
    </row>
    <row r="141" spans="2:64" s="240" customFormat="1" ht="39" customHeight="1">
      <c r="B141" s="247"/>
      <c r="C141" s="312" t="s">
        <v>405</v>
      </c>
      <c r="D141" s="312" t="s">
        <v>350</v>
      </c>
      <c r="E141" s="313" t="s">
        <v>406</v>
      </c>
      <c r="F141" s="442" t="s">
        <v>407</v>
      </c>
      <c r="G141" s="443"/>
      <c r="H141" s="443"/>
      <c r="I141" s="443"/>
      <c r="J141" s="314" t="s">
        <v>229</v>
      </c>
      <c r="K141" s="315">
        <v>95.512</v>
      </c>
      <c r="L141" s="444"/>
      <c r="M141" s="443"/>
      <c r="N141" s="444">
        <f>ROUND($L$141*$K$141,2)</f>
        <v>0</v>
      </c>
      <c r="O141" s="443"/>
      <c r="P141" s="443"/>
      <c r="Q141" s="443"/>
      <c r="R141" s="249"/>
      <c r="T141" s="316"/>
      <c r="U141" s="317" t="s">
        <v>298</v>
      </c>
      <c r="V141" s="318">
        <v>1.587</v>
      </c>
      <c r="W141" s="318">
        <f>$V$141*$K$141</f>
        <v>151.577544</v>
      </c>
      <c r="X141" s="318">
        <v>0</v>
      </c>
      <c r="Y141" s="318">
        <f>$X$141*$K$141</f>
        <v>0</v>
      </c>
      <c r="Z141" s="318">
        <v>0</v>
      </c>
      <c r="AA141" s="319">
        <f>$Z$141*$K$141</f>
        <v>0</v>
      </c>
      <c r="AR141" s="240" t="s">
        <v>354</v>
      </c>
      <c r="AT141" s="240" t="s">
        <v>350</v>
      </c>
      <c r="AU141" s="240" t="s">
        <v>260</v>
      </c>
      <c r="AY141" s="240" t="s">
        <v>349</v>
      </c>
      <c r="BE141" s="320">
        <f>IF($U$141="základní",$N$141,0)</f>
        <v>0</v>
      </c>
      <c r="BF141" s="320">
        <f>IF($U$141="snížená",$N$141,0)</f>
        <v>0</v>
      </c>
      <c r="BG141" s="320">
        <f>IF($U$141="zákl. přenesená",$N$141,0)</f>
        <v>0</v>
      </c>
      <c r="BH141" s="320">
        <f>IF($U$141="sníž. přenesená",$N$141,0)</f>
        <v>0</v>
      </c>
      <c r="BI141" s="320">
        <f>IF($U$141="nulová",$N$141,0)</f>
        <v>0</v>
      </c>
      <c r="BJ141" s="240" t="s">
        <v>347</v>
      </c>
      <c r="BK141" s="320">
        <f>ROUND($L$141*$K$141,2)</f>
        <v>0</v>
      </c>
      <c r="BL141" s="240" t="s">
        <v>354</v>
      </c>
    </row>
    <row r="142" spans="2:64" s="240" customFormat="1" ht="15.75" customHeight="1">
      <c r="B142" s="247"/>
      <c r="C142" s="321" t="s">
        <v>408</v>
      </c>
      <c r="D142" s="321" t="s">
        <v>12</v>
      </c>
      <c r="E142" s="322" t="s">
        <v>409</v>
      </c>
      <c r="F142" s="445" t="s">
        <v>410</v>
      </c>
      <c r="G142" s="446"/>
      <c r="H142" s="446"/>
      <c r="I142" s="446"/>
      <c r="J142" s="323" t="s">
        <v>277</v>
      </c>
      <c r="K142" s="324">
        <v>171.922</v>
      </c>
      <c r="L142" s="447"/>
      <c r="M142" s="446"/>
      <c r="N142" s="447">
        <f>ROUND($L$142*$K$142,2)</f>
        <v>0</v>
      </c>
      <c r="O142" s="443"/>
      <c r="P142" s="443"/>
      <c r="Q142" s="443"/>
      <c r="R142" s="249"/>
      <c r="T142" s="316"/>
      <c r="U142" s="317" t="s">
        <v>298</v>
      </c>
      <c r="V142" s="318">
        <v>0</v>
      </c>
      <c r="W142" s="318">
        <f>$V$142*$K$142</f>
        <v>0</v>
      </c>
      <c r="X142" s="318">
        <v>1</v>
      </c>
      <c r="Y142" s="318">
        <f>$X$142*$K$142</f>
        <v>171.922</v>
      </c>
      <c r="Z142" s="318">
        <v>0</v>
      </c>
      <c r="AA142" s="319">
        <f>$Z$142*$K$142</f>
        <v>0</v>
      </c>
      <c r="AR142" s="240" t="s">
        <v>369</v>
      </c>
      <c r="AT142" s="240" t="s">
        <v>12</v>
      </c>
      <c r="AU142" s="240" t="s">
        <v>260</v>
      </c>
      <c r="AY142" s="240" t="s">
        <v>349</v>
      </c>
      <c r="BE142" s="320">
        <f>IF($U$142="základní",$N$142,0)</f>
        <v>0</v>
      </c>
      <c r="BF142" s="320">
        <f>IF($U$142="snížená",$N$142,0)</f>
        <v>0</v>
      </c>
      <c r="BG142" s="320">
        <f>IF($U$142="zákl. přenesená",$N$142,0)</f>
        <v>0</v>
      </c>
      <c r="BH142" s="320">
        <f>IF($U$142="sníž. přenesená",$N$142,0)</f>
        <v>0</v>
      </c>
      <c r="BI142" s="320">
        <f>IF($U$142="nulová",$N$142,0)</f>
        <v>0</v>
      </c>
      <c r="BJ142" s="240" t="s">
        <v>347</v>
      </c>
      <c r="BK142" s="320">
        <f>ROUND($L$142*$K$142,2)</f>
        <v>0</v>
      </c>
      <c r="BL142" s="240" t="s">
        <v>354</v>
      </c>
    </row>
    <row r="143" spans="2:63" s="303" customFormat="1" ht="30.75" customHeight="1">
      <c r="B143" s="302"/>
      <c r="D143" s="311" t="s">
        <v>319</v>
      </c>
      <c r="N143" s="441">
        <f>$BK$143</f>
        <v>0</v>
      </c>
      <c r="O143" s="440"/>
      <c r="P143" s="440"/>
      <c r="Q143" s="440"/>
      <c r="R143" s="306"/>
      <c r="T143" s="307"/>
      <c r="W143" s="308">
        <f>$W$144</f>
        <v>11.651</v>
      </c>
      <c r="Y143" s="308">
        <f>$Y$144</f>
        <v>2.26041</v>
      </c>
      <c r="AA143" s="309">
        <f>$AA$144</f>
        <v>0</v>
      </c>
      <c r="AR143" s="305" t="s">
        <v>347</v>
      </c>
      <c r="AT143" s="305" t="s">
        <v>346</v>
      </c>
      <c r="AU143" s="305" t="s">
        <v>347</v>
      </c>
      <c r="AY143" s="305" t="s">
        <v>349</v>
      </c>
      <c r="BK143" s="310">
        <f>$BK$144</f>
        <v>0</v>
      </c>
    </row>
    <row r="144" spans="2:64" s="240" customFormat="1" ht="39" customHeight="1">
      <c r="B144" s="247"/>
      <c r="C144" s="312" t="s">
        <v>411</v>
      </c>
      <c r="D144" s="312" t="s">
        <v>350</v>
      </c>
      <c r="E144" s="313" t="s">
        <v>412</v>
      </c>
      <c r="F144" s="442" t="s">
        <v>413</v>
      </c>
      <c r="G144" s="443"/>
      <c r="H144" s="443"/>
      <c r="I144" s="443"/>
      <c r="J144" s="314" t="s">
        <v>229</v>
      </c>
      <c r="K144" s="315">
        <v>1</v>
      </c>
      <c r="L144" s="444"/>
      <c r="M144" s="443"/>
      <c r="N144" s="444">
        <f>ROUND($L$144*$K$144,2)</f>
        <v>0</v>
      </c>
      <c r="O144" s="443"/>
      <c r="P144" s="443"/>
      <c r="Q144" s="443"/>
      <c r="R144" s="249"/>
      <c r="T144" s="316"/>
      <c r="U144" s="317" t="s">
        <v>298</v>
      </c>
      <c r="V144" s="318">
        <v>11.651</v>
      </c>
      <c r="W144" s="318">
        <f>$V$144*$K$144</f>
        <v>11.651</v>
      </c>
      <c r="X144" s="318">
        <v>2.26041</v>
      </c>
      <c r="Y144" s="318">
        <f>$X$144*$K$144</f>
        <v>2.26041</v>
      </c>
      <c r="Z144" s="318">
        <v>0</v>
      </c>
      <c r="AA144" s="319">
        <f>$Z$144*$K$144</f>
        <v>0</v>
      </c>
      <c r="AR144" s="240" t="s">
        <v>354</v>
      </c>
      <c r="AT144" s="240" t="s">
        <v>350</v>
      </c>
      <c r="AU144" s="240" t="s">
        <v>260</v>
      </c>
      <c r="AY144" s="240" t="s">
        <v>349</v>
      </c>
      <c r="BE144" s="320">
        <f>IF($U$144="základní",$N$144,0)</f>
        <v>0</v>
      </c>
      <c r="BF144" s="320">
        <f>IF($U$144="snížená",$N$144,0)</f>
        <v>0</v>
      </c>
      <c r="BG144" s="320">
        <f>IF($U$144="zákl. přenesená",$N$144,0)</f>
        <v>0</v>
      </c>
      <c r="BH144" s="320">
        <f>IF($U$144="sníž. přenesená",$N$144,0)</f>
        <v>0</v>
      </c>
      <c r="BI144" s="320">
        <f>IF($U$144="nulová",$N$144,0)</f>
        <v>0</v>
      </c>
      <c r="BJ144" s="240" t="s">
        <v>347</v>
      </c>
      <c r="BK144" s="320">
        <f>ROUND($L$144*$K$144,2)</f>
        <v>0</v>
      </c>
      <c r="BL144" s="240" t="s">
        <v>354</v>
      </c>
    </row>
    <row r="145" spans="2:63" s="303" customFormat="1" ht="30.75" customHeight="1">
      <c r="B145" s="302"/>
      <c r="D145" s="311" t="s">
        <v>320</v>
      </c>
      <c r="N145" s="441">
        <f>$BK$145</f>
        <v>0</v>
      </c>
      <c r="O145" s="440"/>
      <c r="P145" s="440"/>
      <c r="Q145" s="440"/>
      <c r="R145" s="306"/>
      <c r="T145" s="307"/>
      <c r="W145" s="308">
        <f>SUM($W$146:$W$147)</f>
        <v>82.766175</v>
      </c>
      <c r="Y145" s="308">
        <f>SUM($Y$146:$Y$147)</f>
        <v>0</v>
      </c>
      <c r="AA145" s="309">
        <f>SUM($AA$146:$AA$147)</f>
        <v>0</v>
      </c>
      <c r="AR145" s="305" t="s">
        <v>347</v>
      </c>
      <c r="AT145" s="305" t="s">
        <v>346</v>
      </c>
      <c r="AU145" s="305" t="s">
        <v>347</v>
      </c>
      <c r="AY145" s="305" t="s">
        <v>349</v>
      </c>
      <c r="BK145" s="310">
        <f>SUM($BK$146:$BK$147)</f>
        <v>0</v>
      </c>
    </row>
    <row r="146" spans="2:64" s="240" customFormat="1" ht="27" customHeight="1">
      <c r="B146" s="247"/>
      <c r="C146" s="312" t="s">
        <v>414</v>
      </c>
      <c r="D146" s="312" t="s">
        <v>350</v>
      </c>
      <c r="E146" s="313" t="s">
        <v>415</v>
      </c>
      <c r="F146" s="442" t="s">
        <v>416</v>
      </c>
      <c r="G146" s="443"/>
      <c r="H146" s="443"/>
      <c r="I146" s="443"/>
      <c r="J146" s="314" t="s">
        <v>229</v>
      </c>
      <c r="K146" s="315">
        <v>17.35</v>
      </c>
      <c r="L146" s="444"/>
      <c r="M146" s="443"/>
      <c r="N146" s="444">
        <f>ROUND($L$146*$K$146,2)</f>
        <v>0</v>
      </c>
      <c r="O146" s="443"/>
      <c r="P146" s="443"/>
      <c r="Q146" s="443"/>
      <c r="R146" s="249"/>
      <c r="T146" s="316"/>
      <c r="U146" s="317" t="s">
        <v>298</v>
      </c>
      <c r="V146" s="318">
        <v>1.887</v>
      </c>
      <c r="W146" s="318">
        <f>$V$146*$K$146</f>
        <v>32.739450000000005</v>
      </c>
      <c r="X146" s="318">
        <v>0</v>
      </c>
      <c r="Y146" s="318">
        <f>$X$146*$K$146</f>
        <v>0</v>
      </c>
      <c r="Z146" s="318">
        <v>0</v>
      </c>
      <c r="AA146" s="319">
        <f>$Z$146*$K$146</f>
        <v>0</v>
      </c>
      <c r="AR146" s="240" t="s">
        <v>354</v>
      </c>
      <c r="AT146" s="240" t="s">
        <v>350</v>
      </c>
      <c r="AU146" s="240" t="s">
        <v>260</v>
      </c>
      <c r="AY146" s="240" t="s">
        <v>349</v>
      </c>
      <c r="BE146" s="320">
        <f>IF($U$146="základní",$N$146,0)</f>
        <v>0</v>
      </c>
      <c r="BF146" s="320">
        <f>IF($U$146="snížená",$N$146,0)</f>
        <v>0</v>
      </c>
      <c r="BG146" s="320">
        <f>IF($U$146="zákl. přenesená",$N$146,0)</f>
        <v>0</v>
      </c>
      <c r="BH146" s="320">
        <f>IF($U$146="sníž. přenesená",$N$146,0)</f>
        <v>0</v>
      </c>
      <c r="BI146" s="320">
        <f>IF($U$146="nulová",$N$146,0)</f>
        <v>0</v>
      </c>
      <c r="BJ146" s="240" t="s">
        <v>347</v>
      </c>
      <c r="BK146" s="320">
        <f>ROUND($L$146*$K$146,2)</f>
        <v>0</v>
      </c>
      <c r="BL146" s="240" t="s">
        <v>354</v>
      </c>
    </row>
    <row r="147" spans="2:64" s="240" customFormat="1" ht="27" customHeight="1">
      <c r="B147" s="247"/>
      <c r="C147" s="312" t="s">
        <v>417</v>
      </c>
      <c r="D147" s="312" t="s">
        <v>350</v>
      </c>
      <c r="E147" s="313" t="s">
        <v>418</v>
      </c>
      <c r="F147" s="442" t="s">
        <v>419</v>
      </c>
      <c r="G147" s="443"/>
      <c r="H147" s="443"/>
      <c r="I147" s="443"/>
      <c r="J147" s="314" t="s">
        <v>229</v>
      </c>
      <c r="K147" s="315">
        <v>36.225</v>
      </c>
      <c r="L147" s="444"/>
      <c r="M147" s="443"/>
      <c r="N147" s="444">
        <f>ROUND($L$147*$K$147,2)</f>
        <v>0</v>
      </c>
      <c r="O147" s="443"/>
      <c r="P147" s="443"/>
      <c r="Q147" s="443"/>
      <c r="R147" s="249"/>
      <c r="T147" s="316"/>
      <c r="U147" s="317" t="s">
        <v>298</v>
      </c>
      <c r="V147" s="318">
        <v>1.381</v>
      </c>
      <c r="W147" s="318">
        <f>$V$147*$K$147</f>
        <v>50.026725</v>
      </c>
      <c r="X147" s="318">
        <v>0</v>
      </c>
      <c r="Y147" s="318">
        <f>$X$147*$K$147</f>
        <v>0</v>
      </c>
      <c r="Z147" s="318">
        <v>0</v>
      </c>
      <c r="AA147" s="319">
        <f>$Z$147*$K$147</f>
        <v>0</v>
      </c>
      <c r="AR147" s="240" t="s">
        <v>354</v>
      </c>
      <c r="AT147" s="240" t="s">
        <v>350</v>
      </c>
      <c r="AU147" s="240" t="s">
        <v>260</v>
      </c>
      <c r="AY147" s="240" t="s">
        <v>349</v>
      </c>
      <c r="BE147" s="320">
        <f>IF($U$147="základní",$N$147,0)</f>
        <v>0</v>
      </c>
      <c r="BF147" s="320">
        <f>IF($U$147="snížená",$N$147,0)</f>
        <v>0</v>
      </c>
      <c r="BG147" s="320">
        <f>IF($U$147="zákl. přenesená",$N$147,0)</f>
        <v>0</v>
      </c>
      <c r="BH147" s="320">
        <f>IF($U$147="sníž. přenesená",$N$147,0)</f>
        <v>0</v>
      </c>
      <c r="BI147" s="320">
        <f>IF($U$147="nulová",$N$147,0)</f>
        <v>0</v>
      </c>
      <c r="BJ147" s="240" t="s">
        <v>347</v>
      </c>
      <c r="BK147" s="320">
        <f>ROUND($L$147*$K$147,2)</f>
        <v>0</v>
      </c>
      <c r="BL147" s="240" t="s">
        <v>354</v>
      </c>
    </row>
    <row r="148" spans="2:63" s="303" customFormat="1" ht="30.75" customHeight="1">
      <c r="B148" s="302"/>
      <c r="D148" s="311" t="s">
        <v>321</v>
      </c>
      <c r="N148" s="441">
        <f>$BK$148</f>
        <v>0</v>
      </c>
      <c r="O148" s="440"/>
      <c r="P148" s="440"/>
      <c r="Q148" s="440"/>
      <c r="R148" s="306"/>
      <c r="T148" s="307"/>
      <c r="W148" s="308">
        <f>SUM($W$149:$W$192)</f>
        <v>335.60909100000003</v>
      </c>
      <c r="Y148" s="308">
        <f>SUM($Y$149:$Y$192)</f>
        <v>67.34753999999998</v>
      </c>
      <c r="AA148" s="309">
        <f>SUM($AA$149:$AA$192)</f>
        <v>0</v>
      </c>
      <c r="AR148" s="305" t="s">
        <v>347</v>
      </c>
      <c r="AT148" s="305" t="s">
        <v>346</v>
      </c>
      <c r="AU148" s="305" t="s">
        <v>347</v>
      </c>
      <c r="AY148" s="305" t="s">
        <v>349</v>
      </c>
      <c r="BK148" s="310">
        <f>SUM($BK$149:$BK$192)</f>
        <v>0</v>
      </c>
    </row>
    <row r="149" spans="2:64" s="240" customFormat="1" ht="39" customHeight="1">
      <c r="B149" s="247"/>
      <c r="C149" s="312" t="s">
        <v>420</v>
      </c>
      <c r="D149" s="312" t="s">
        <v>350</v>
      </c>
      <c r="E149" s="313" t="s">
        <v>421</v>
      </c>
      <c r="F149" s="442" t="s">
        <v>422</v>
      </c>
      <c r="G149" s="443"/>
      <c r="H149" s="443"/>
      <c r="I149" s="443"/>
      <c r="J149" s="314" t="s">
        <v>141</v>
      </c>
      <c r="K149" s="315">
        <v>5.5</v>
      </c>
      <c r="L149" s="444"/>
      <c r="M149" s="443"/>
      <c r="N149" s="444">
        <f>ROUND($L$149*$K$149,2)</f>
        <v>0</v>
      </c>
      <c r="O149" s="443"/>
      <c r="P149" s="443"/>
      <c r="Q149" s="443"/>
      <c r="R149" s="249"/>
      <c r="T149" s="316"/>
      <c r="U149" s="317" t="s">
        <v>298</v>
      </c>
      <c r="V149" s="318">
        <v>0.283</v>
      </c>
      <c r="W149" s="318">
        <f>$V$149*$K$149</f>
        <v>1.5564999999999998</v>
      </c>
      <c r="X149" s="318">
        <v>3E-05</v>
      </c>
      <c r="Y149" s="318">
        <f>$X$149*$K$149</f>
        <v>0.000165</v>
      </c>
      <c r="Z149" s="318">
        <v>0</v>
      </c>
      <c r="AA149" s="319">
        <f>$Z$149*$K$149</f>
        <v>0</v>
      </c>
      <c r="AR149" s="240" t="s">
        <v>354</v>
      </c>
      <c r="AT149" s="240" t="s">
        <v>350</v>
      </c>
      <c r="AU149" s="240" t="s">
        <v>260</v>
      </c>
      <c r="AY149" s="240" t="s">
        <v>349</v>
      </c>
      <c r="BE149" s="320">
        <f>IF($U$149="základní",$N$149,0)</f>
        <v>0</v>
      </c>
      <c r="BF149" s="320">
        <f>IF($U$149="snížená",$N$149,0)</f>
        <v>0</v>
      </c>
      <c r="BG149" s="320">
        <f>IF($U$149="zákl. přenesená",$N$149,0)</f>
        <v>0</v>
      </c>
      <c r="BH149" s="320">
        <f>IF($U$149="sníž. přenesená",$N$149,0)</f>
        <v>0</v>
      </c>
      <c r="BI149" s="320">
        <f>IF($U$149="nulová",$N$149,0)</f>
        <v>0</v>
      </c>
      <c r="BJ149" s="240" t="s">
        <v>347</v>
      </c>
      <c r="BK149" s="320">
        <f>ROUND($L$149*$K$149,2)</f>
        <v>0</v>
      </c>
      <c r="BL149" s="240" t="s">
        <v>354</v>
      </c>
    </row>
    <row r="150" spans="2:64" s="240" customFormat="1" ht="27" customHeight="1">
      <c r="B150" s="247"/>
      <c r="C150" s="321" t="s">
        <v>423</v>
      </c>
      <c r="D150" s="321" t="s">
        <v>12</v>
      </c>
      <c r="E150" s="322" t="s">
        <v>424</v>
      </c>
      <c r="F150" s="445" t="s">
        <v>425</v>
      </c>
      <c r="G150" s="446"/>
      <c r="H150" s="446"/>
      <c r="I150" s="446"/>
      <c r="J150" s="323" t="s">
        <v>141</v>
      </c>
      <c r="K150" s="324">
        <v>5.5</v>
      </c>
      <c r="L150" s="447"/>
      <c r="M150" s="446"/>
      <c r="N150" s="447">
        <f>ROUND($L$150*$K$150,2)</f>
        <v>0</v>
      </c>
      <c r="O150" s="443"/>
      <c r="P150" s="443"/>
      <c r="Q150" s="443"/>
      <c r="R150" s="249"/>
      <c r="T150" s="316"/>
      <c r="U150" s="317" t="s">
        <v>298</v>
      </c>
      <c r="V150" s="318">
        <v>0</v>
      </c>
      <c r="W150" s="318">
        <f>$V$150*$K$150</f>
        <v>0</v>
      </c>
      <c r="X150" s="318">
        <v>0.024</v>
      </c>
      <c r="Y150" s="318">
        <f>$X$150*$K$150</f>
        <v>0.132</v>
      </c>
      <c r="Z150" s="318">
        <v>0</v>
      </c>
      <c r="AA150" s="319">
        <f>$Z$150*$K$150</f>
        <v>0</v>
      </c>
      <c r="AR150" s="240" t="s">
        <v>369</v>
      </c>
      <c r="AT150" s="240" t="s">
        <v>12</v>
      </c>
      <c r="AU150" s="240" t="s">
        <v>260</v>
      </c>
      <c r="AY150" s="240" t="s">
        <v>349</v>
      </c>
      <c r="BE150" s="320">
        <f>IF($U$150="základní",$N$150,0)</f>
        <v>0</v>
      </c>
      <c r="BF150" s="320">
        <f>IF($U$150="snížená",$N$150,0)</f>
        <v>0</v>
      </c>
      <c r="BG150" s="320">
        <f>IF($U$150="zákl. přenesená",$N$150,0)</f>
        <v>0</v>
      </c>
      <c r="BH150" s="320">
        <f>IF($U$150="sníž. přenesená",$N$150,0)</f>
        <v>0</v>
      </c>
      <c r="BI150" s="320">
        <f>IF($U$150="nulová",$N$150,0)</f>
        <v>0</v>
      </c>
      <c r="BJ150" s="240" t="s">
        <v>347</v>
      </c>
      <c r="BK150" s="320">
        <f>ROUND($L$150*$K$150,2)</f>
        <v>0</v>
      </c>
      <c r="BL150" s="240" t="s">
        <v>354</v>
      </c>
    </row>
    <row r="151" spans="2:64" s="240" customFormat="1" ht="39" customHeight="1">
      <c r="B151" s="247"/>
      <c r="C151" s="312" t="s">
        <v>426</v>
      </c>
      <c r="D151" s="312" t="s">
        <v>350</v>
      </c>
      <c r="E151" s="313" t="s">
        <v>427</v>
      </c>
      <c r="F151" s="442" t="s">
        <v>428</v>
      </c>
      <c r="G151" s="443"/>
      <c r="H151" s="443"/>
      <c r="I151" s="443"/>
      <c r="J151" s="314" t="s">
        <v>141</v>
      </c>
      <c r="K151" s="315">
        <v>9</v>
      </c>
      <c r="L151" s="444"/>
      <c r="M151" s="443"/>
      <c r="N151" s="444">
        <f>ROUND($L$151*$K$151,2)</f>
        <v>0</v>
      </c>
      <c r="O151" s="443"/>
      <c r="P151" s="443"/>
      <c r="Q151" s="443"/>
      <c r="R151" s="249"/>
      <c r="T151" s="316"/>
      <c r="U151" s="317" t="s">
        <v>298</v>
      </c>
      <c r="V151" s="318">
        <v>0.35</v>
      </c>
      <c r="W151" s="318">
        <f>$V$151*$K$151</f>
        <v>3.15</v>
      </c>
      <c r="X151" s="318">
        <v>4E-05</v>
      </c>
      <c r="Y151" s="318">
        <f>$X$151*$K$151</f>
        <v>0.00036</v>
      </c>
      <c r="Z151" s="318">
        <v>0</v>
      </c>
      <c r="AA151" s="319">
        <f>$Z$151*$K$151</f>
        <v>0</v>
      </c>
      <c r="AR151" s="240" t="s">
        <v>354</v>
      </c>
      <c r="AT151" s="240" t="s">
        <v>350</v>
      </c>
      <c r="AU151" s="240" t="s">
        <v>260</v>
      </c>
      <c r="AY151" s="240" t="s">
        <v>349</v>
      </c>
      <c r="BE151" s="320">
        <f>IF($U$151="základní",$N$151,0)</f>
        <v>0</v>
      </c>
      <c r="BF151" s="320">
        <f>IF($U$151="snížená",$N$151,0)</f>
        <v>0</v>
      </c>
      <c r="BG151" s="320">
        <f>IF($U$151="zákl. přenesená",$N$151,0)</f>
        <v>0</v>
      </c>
      <c r="BH151" s="320">
        <f>IF($U$151="sníž. přenesená",$N$151,0)</f>
        <v>0</v>
      </c>
      <c r="BI151" s="320">
        <f>IF($U$151="nulová",$N$151,0)</f>
        <v>0</v>
      </c>
      <c r="BJ151" s="240" t="s">
        <v>347</v>
      </c>
      <c r="BK151" s="320">
        <f>ROUND($L$151*$K$151,2)</f>
        <v>0</v>
      </c>
      <c r="BL151" s="240" t="s">
        <v>354</v>
      </c>
    </row>
    <row r="152" spans="2:64" s="240" customFormat="1" ht="27" customHeight="1">
      <c r="B152" s="247"/>
      <c r="C152" s="321" t="s">
        <v>429</v>
      </c>
      <c r="D152" s="321" t="s">
        <v>12</v>
      </c>
      <c r="E152" s="322" t="s">
        <v>430</v>
      </c>
      <c r="F152" s="445" t="s">
        <v>431</v>
      </c>
      <c r="G152" s="446"/>
      <c r="H152" s="446"/>
      <c r="I152" s="446"/>
      <c r="J152" s="323" t="s">
        <v>141</v>
      </c>
      <c r="K152" s="324">
        <v>9</v>
      </c>
      <c r="L152" s="447"/>
      <c r="M152" s="446"/>
      <c r="N152" s="447">
        <f>ROUND($L$152*$K$152,2)</f>
        <v>0</v>
      </c>
      <c r="O152" s="443"/>
      <c r="P152" s="443"/>
      <c r="Q152" s="443"/>
      <c r="R152" s="249"/>
      <c r="T152" s="316"/>
      <c r="U152" s="317" t="s">
        <v>298</v>
      </c>
      <c r="V152" s="318">
        <v>0</v>
      </c>
      <c r="W152" s="318">
        <f>$V$152*$K$152</f>
        <v>0</v>
      </c>
      <c r="X152" s="318">
        <v>0.037</v>
      </c>
      <c r="Y152" s="318">
        <f>$X$152*$K$152</f>
        <v>0.33299999999999996</v>
      </c>
      <c r="Z152" s="318">
        <v>0</v>
      </c>
      <c r="AA152" s="319">
        <f>$Z$152*$K$152</f>
        <v>0</v>
      </c>
      <c r="AR152" s="240" t="s">
        <v>369</v>
      </c>
      <c r="AT152" s="240" t="s">
        <v>12</v>
      </c>
      <c r="AU152" s="240" t="s">
        <v>260</v>
      </c>
      <c r="AY152" s="240" t="s">
        <v>349</v>
      </c>
      <c r="BE152" s="320">
        <f>IF($U$152="základní",$N$152,0)</f>
        <v>0</v>
      </c>
      <c r="BF152" s="320">
        <f>IF($U$152="snížená",$N$152,0)</f>
        <v>0</v>
      </c>
      <c r="BG152" s="320">
        <f>IF($U$152="zákl. přenesená",$N$152,0)</f>
        <v>0</v>
      </c>
      <c r="BH152" s="320">
        <f>IF($U$152="sníž. přenesená",$N$152,0)</f>
        <v>0</v>
      </c>
      <c r="BI152" s="320">
        <f>IF($U$152="nulová",$N$152,0)</f>
        <v>0</v>
      </c>
      <c r="BJ152" s="240" t="s">
        <v>347</v>
      </c>
      <c r="BK152" s="320">
        <f>ROUND($L$152*$K$152,2)</f>
        <v>0</v>
      </c>
      <c r="BL152" s="240" t="s">
        <v>354</v>
      </c>
    </row>
    <row r="153" spans="2:64" s="240" customFormat="1" ht="39" customHeight="1">
      <c r="B153" s="247"/>
      <c r="C153" s="312" t="s">
        <v>432</v>
      </c>
      <c r="D153" s="312" t="s">
        <v>350</v>
      </c>
      <c r="E153" s="313" t="s">
        <v>433</v>
      </c>
      <c r="F153" s="442" t="s">
        <v>434</v>
      </c>
      <c r="G153" s="443"/>
      <c r="H153" s="443"/>
      <c r="I153" s="443"/>
      <c r="J153" s="314" t="s">
        <v>141</v>
      </c>
      <c r="K153" s="315">
        <v>8.5</v>
      </c>
      <c r="L153" s="444"/>
      <c r="M153" s="443"/>
      <c r="N153" s="444">
        <f>ROUND($L$153*$K$153,2)</f>
        <v>0</v>
      </c>
      <c r="O153" s="443"/>
      <c r="P153" s="443"/>
      <c r="Q153" s="443"/>
      <c r="R153" s="249"/>
      <c r="T153" s="316"/>
      <c r="U153" s="317" t="s">
        <v>298</v>
      </c>
      <c r="V153" s="318">
        <v>0.42</v>
      </c>
      <c r="W153" s="318">
        <f>$V$153*$K$153</f>
        <v>3.57</v>
      </c>
      <c r="X153" s="318">
        <v>5E-05</v>
      </c>
      <c r="Y153" s="318">
        <f>$X$153*$K$153</f>
        <v>0.00042500000000000003</v>
      </c>
      <c r="Z153" s="318">
        <v>0</v>
      </c>
      <c r="AA153" s="319">
        <f>$Z$153*$K$153</f>
        <v>0</v>
      </c>
      <c r="AR153" s="240" t="s">
        <v>354</v>
      </c>
      <c r="AT153" s="240" t="s">
        <v>350</v>
      </c>
      <c r="AU153" s="240" t="s">
        <v>260</v>
      </c>
      <c r="AY153" s="240" t="s">
        <v>349</v>
      </c>
      <c r="BE153" s="320">
        <f>IF($U$153="základní",$N$153,0)</f>
        <v>0</v>
      </c>
      <c r="BF153" s="320">
        <f>IF($U$153="snížená",$N$153,0)</f>
        <v>0</v>
      </c>
      <c r="BG153" s="320">
        <f>IF($U$153="zákl. přenesená",$N$153,0)</f>
        <v>0</v>
      </c>
      <c r="BH153" s="320">
        <f>IF($U$153="sníž. přenesená",$N$153,0)</f>
        <v>0</v>
      </c>
      <c r="BI153" s="320">
        <f>IF($U$153="nulová",$N$153,0)</f>
        <v>0</v>
      </c>
      <c r="BJ153" s="240" t="s">
        <v>347</v>
      </c>
      <c r="BK153" s="320">
        <f>ROUND($L$153*$K$153,2)</f>
        <v>0</v>
      </c>
      <c r="BL153" s="240" t="s">
        <v>354</v>
      </c>
    </row>
    <row r="154" spans="2:64" s="240" customFormat="1" ht="27" customHeight="1">
      <c r="B154" s="247"/>
      <c r="C154" s="321" t="s">
        <v>435</v>
      </c>
      <c r="D154" s="321" t="s">
        <v>12</v>
      </c>
      <c r="E154" s="322" t="s">
        <v>436</v>
      </c>
      <c r="F154" s="445" t="s">
        <v>437</v>
      </c>
      <c r="G154" s="446"/>
      <c r="H154" s="446"/>
      <c r="I154" s="446"/>
      <c r="J154" s="323" t="s">
        <v>141</v>
      </c>
      <c r="K154" s="324">
        <v>8.5</v>
      </c>
      <c r="L154" s="447"/>
      <c r="M154" s="446"/>
      <c r="N154" s="447">
        <f>ROUND($L$154*$K$154,2)</f>
        <v>0</v>
      </c>
      <c r="O154" s="443"/>
      <c r="P154" s="443"/>
      <c r="Q154" s="443"/>
      <c r="R154" s="249"/>
      <c r="T154" s="316"/>
      <c r="U154" s="317" t="s">
        <v>298</v>
      </c>
      <c r="V154" s="318">
        <v>0</v>
      </c>
      <c r="W154" s="318">
        <f>$V$154*$K$154</f>
        <v>0</v>
      </c>
      <c r="X154" s="318">
        <v>0.053</v>
      </c>
      <c r="Y154" s="318">
        <f>$X$154*$K$154</f>
        <v>0.4505</v>
      </c>
      <c r="Z154" s="318">
        <v>0</v>
      </c>
      <c r="AA154" s="319">
        <f>$Z$154*$K$154</f>
        <v>0</v>
      </c>
      <c r="AR154" s="240" t="s">
        <v>369</v>
      </c>
      <c r="AT154" s="240" t="s">
        <v>12</v>
      </c>
      <c r="AU154" s="240" t="s">
        <v>260</v>
      </c>
      <c r="AY154" s="240" t="s">
        <v>349</v>
      </c>
      <c r="BE154" s="320">
        <f>IF($U$154="základní",$N$154,0)</f>
        <v>0</v>
      </c>
      <c r="BF154" s="320">
        <f>IF($U$154="snížená",$N$154,0)</f>
        <v>0</v>
      </c>
      <c r="BG154" s="320">
        <f>IF($U$154="zákl. přenesená",$N$154,0)</f>
        <v>0</v>
      </c>
      <c r="BH154" s="320">
        <f>IF($U$154="sníž. přenesená",$N$154,0)</f>
        <v>0</v>
      </c>
      <c r="BI154" s="320">
        <f>IF($U$154="nulová",$N$154,0)</f>
        <v>0</v>
      </c>
      <c r="BJ154" s="240" t="s">
        <v>347</v>
      </c>
      <c r="BK154" s="320">
        <f>ROUND($L$154*$K$154,2)</f>
        <v>0</v>
      </c>
      <c r="BL154" s="240" t="s">
        <v>354</v>
      </c>
    </row>
    <row r="155" spans="2:64" s="240" customFormat="1" ht="27" customHeight="1">
      <c r="B155" s="247"/>
      <c r="C155" s="312" t="s">
        <v>438</v>
      </c>
      <c r="D155" s="312" t="s">
        <v>350</v>
      </c>
      <c r="E155" s="313" t="s">
        <v>439</v>
      </c>
      <c r="F155" s="442" t="s">
        <v>440</v>
      </c>
      <c r="G155" s="443"/>
      <c r="H155" s="443"/>
      <c r="I155" s="443"/>
      <c r="J155" s="314" t="s">
        <v>229</v>
      </c>
      <c r="K155" s="315">
        <v>4.889</v>
      </c>
      <c r="L155" s="444"/>
      <c r="M155" s="443"/>
      <c r="N155" s="444">
        <f>ROUND($L$155*$K$155,2)</f>
        <v>0</v>
      </c>
      <c r="O155" s="443"/>
      <c r="P155" s="443"/>
      <c r="Q155" s="443"/>
      <c r="R155" s="249"/>
      <c r="T155" s="316"/>
      <c r="U155" s="317" t="s">
        <v>298</v>
      </c>
      <c r="V155" s="318">
        <v>1.319</v>
      </c>
      <c r="W155" s="318">
        <f>$V$155*$K$155</f>
        <v>6.448591</v>
      </c>
      <c r="X155" s="318">
        <v>0</v>
      </c>
      <c r="Y155" s="318">
        <f>$X$155*$K$155</f>
        <v>0</v>
      </c>
      <c r="Z155" s="318">
        <v>0</v>
      </c>
      <c r="AA155" s="319">
        <f>$Z$155*$K$155</f>
        <v>0</v>
      </c>
      <c r="AR155" s="240" t="s">
        <v>354</v>
      </c>
      <c r="AT155" s="240" t="s">
        <v>350</v>
      </c>
      <c r="AU155" s="240" t="s">
        <v>260</v>
      </c>
      <c r="AY155" s="240" t="s">
        <v>349</v>
      </c>
      <c r="BE155" s="320">
        <f>IF($U$155="základní",$N$155,0)</f>
        <v>0</v>
      </c>
      <c r="BF155" s="320">
        <f>IF($U$155="snížená",$N$155,0)</f>
        <v>0</v>
      </c>
      <c r="BG155" s="320">
        <f>IF($U$155="zákl. přenesená",$N$155,0)</f>
        <v>0</v>
      </c>
      <c r="BH155" s="320">
        <f>IF($U$155="sníž. přenesená",$N$155,0)</f>
        <v>0</v>
      </c>
      <c r="BI155" s="320">
        <f>IF($U$155="nulová",$N$155,0)</f>
        <v>0</v>
      </c>
      <c r="BJ155" s="240" t="s">
        <v>347</v>
      </c>
      <c r="BK155" s="320">
        <f>ROUND($L$155*$K$155,2)</f>
        <v>0</v>
      </c>
      <c r="BL155" s="240" t="s">
        <v>354</v>
      </c>
    </row>
    <row r="156" spans="2:64" s="240" customFormat="1" ht="39" customHeight="1">
      <c r="B156" s="247"/>
      <c r="C156" s="312" t="s">
        <v>441</v>
      </c>
      <c r="D156" s="312" t="s">
        <v>350</v>
      </c>
      <c r="E156" s="313" t="s">
        <v>442</v>
      </c>
      <c r="F156" s="442" t="s">
        <v>443</v>
      </c>
      <c r="G156" s="443"/>
      <c r="H156" s="443"/>
      <c r="I156" s="443"/>
      <c r="J156" s="314" t="s">
        <v>141</v>
      </c>
      <c r="K156" s="315">
        <v>110</v>
      </c>
      <c r="L156" s="444"/>
      <c r="M156" s="443"/>
      <c r="N156" s="444">
        <f>ROUND($L$156*$K$156,2)</f>
        <v>0</v>
      </c>
      <c r="O156" s="443"/>
      <c r="P156" s="443"/>
      <c r="Q156" s="443"/>
      <c r="R156" s="249"/>
      <c r="T156" s="316"/>
      <c r="U156" s="317" t="s">
        <v>298</v>
      </c>
      <c r="V156" s="318">
        <v>0.84</v>
      </c>
      <c r="W156" s="318">
        <f>$V$156*$K$156</f>
        <v>92.39999999999999</v>
      </c>
      <c r="X156" s="318">
        <v>0.00014</v>
      </c>
      <c r="Y156" s="318">
        <f>$X$156*$K$156</f>
        <v>0.015399999999999999</v>
      </c>
      <c r="Z156" s="318">
        <v>0</v>
      </c>
      <c r="AA156" s="319">
        <f>$Z$156*$K$156</f>
        <v>0</v>
      </c>
      <c r="AR156" s="240" t="s">
        <v>354</v>
      </c>
      <c r="AT156" s="240" t="s">
        <v>350</v>
      </c>
      <c r="AU156" s="240" t="s">
        <v>260</v>
      </c>
      <c r="AY156" s="240" t="s">
        <v>349</v>
      </c>
      <c r="BE156" s="320">
        <f>IF($U$156="základní",$N$156,0)</f>
        <v>0</v>
      </c>
      <c r="BF156" s="320">
        <f>IF($U$156="snížená",$N$156,0)</f>
        <v>0</v>
      </c>
      <c r="BG156" s="320">
        <f>IF($U$156="zákl. přenesená",$N$156,0)</f>
        <v>0</v>
      </c>
      <c r="BH156" s="320">
        <f>IF($U$156="sníž. přenesená",$N$156,0)</f>
        <v>0</v>
      </c>
      <c r="BI156" s="320">
        <f>IF($U$156="nulová",$N$156,0)</f>
        <v>0</v>
      </c>
      <c r="BJ156" s="240" t="s">
        <v>347</v>
      </c>
      <c r="BK156" s="320">
        <f>ROUND($L$156*$K$156,2)</f>
        <v>0</v>
      </c>
      <c r="BL156" s="240" t="s">
        <v>354</v>
      </c>
    </row>
    <row r="157" spans="2:64" s="240" customFormat="1" ht="27" customHeight="1">
      <c r="B157" s="247"/>
      <c r="C157" s="321" t="s">
        <v>444</v>
      </c>
      <c r="D157" s="321" t="s">
        <v>12</v>
      </c>
      <c r="E157" s="322" t="s">
        <v>445</v>
      </c>
      <c r="F157" s="445" t="s">
        <v>446</v>
      </c>
      <c r="G157" s="446"/>
      <c r="H157" s="446"/>
      <c r="I157" s="446"/>
      <c r="J157" s="323" t="s">
        <v>141</v>
      </c>
      <c r="K157" s="324">
        <v>110</v>
      </c>
      <c r="L157" s="447"/>
      <c r="M157" s="446"/>
      <c r="N157" s="447">
        <f>ROUND($L$157*$K$157,2)</f>
        <v>0</v>
      </c>
      <c r="O157" s="443"/>
      <c r="P157" s="443"/>
      <c r="Q157" s="443"/>
      <c r="R157" s="249"/>
      <c r="T157" s="316"/>
      <c r="U157" s="317" t="s">
        <v>298</v>
      </c>
      <c r="V157" s="318">
        <v>0</v>
      </c>
      <c r="W157" s="318">
        <f>$V$157*$K$157</f>
        <v>0</v>
      </c>
      <c r="X157" s="318">
        <v>0.174</v>
      </c>
      <c r="Y157" s="318">
        <f>$X$157*$K$157</f>
        <v>19.139999999999997</v>
      </c>
      <c r="Z157" s="318">
        <v>0</v>
      </c>
      <c r="AA157" s="319">
        <f>$Z$157*$K$157</f>
        <v>0</v>
      </c>
      <c r="AR157" s="240" t="s">
        <v>369</v>
      </c>
      <c r="AT157" s="240" t="s">
        <v>12</v>
      </c>
      <c r="AU157" s="240" t="s">
        <v>260</v>
      </c>
      <c r="AY157" s="240" t="s">
        <v>349</v>
      </c>
      <c r="BE157" s="320">
        <f>IF($U$157="základní",$N$157,0)</f>
        <v>0</v>
      </c>
      <c r="BF157" s="320">
        <f>IF($U$157="snížená",$N$157,0)</f>
        <v>0</v>
      </c>
      <c r="BG157" s="320">
        <f>IF($U$157="zákl. přenesená",$N$157,0)</f>
        <v>0</v>
      </c>
      <c r="BH157" s="320">
        <f>IF($U$157="sníž. přenesená",$N$157,0)</f>
        <v>0</v>
      </c>
      <c r="BI157" s="320">
        <f>IF($U$157="nulová",$N$157,0)</f>
        <v>0</v>
      </c>
      <c r="BJ157" s="240" t="s">
        <v>347</v>
      </c>
      <c r="BK157" s="320">
        <f>ROUND($L$157*$K$157,2)</f>
        <v>0</v>
      </c>
      <c r="BL157" s="240" t="s">
        <v>354</v>
      </c>
    </row>
    <row r="158" spans="2:64" s="240" customFormat="1" ht="39" customHeight="1">
      <c r="B158" s="247"/>
      <c r="C158" s="321" t="s">
        <v>447</v>
      </c>
      <c r="D158" s="321" t="s">
        <v>12</v>
      </c>
      <c r="E158" s="322" t="s">
        <v>448</v>
      </c>
      <c r="F158" s="445" t="s">
        <v>449</v>
      </c>
      <c r="G158" s="446"/>
      <c r="H158" s="446"/>
      <c r="I158" s="446"/>
      <c r="J158" s="323" t="s">
        <v>450</v>
      </c>
      <c r="K158" s="324">
        <v>1</v>
      </c>
      <c r="L158" s="447"/>
      <c r="M158" s="446"/>
      <c r="N158" s="447">
        <f>ROUND($L$158*$K$158,2)</f>
        <v>0</v>
      </c>
      <c r="O158" s="443"/>
      <c r="P158" s="443"/>
      <c r="Q158" s="443"/>
      <c r="R158" s="249"/>
      <c r="T158" s="316"/>
      <c r="U158" s="317" t="s">
        <v>298</v>
      </c>
      <c r="V158" s="318">
        <v>0</v>
      </c>
      <c r="W158" s="318">
        <f>$V$158*$K$158</f>
        <v>0</v>
      </c>
      <c r="X158" s="318">
        <v>0.214</v>
      </c>
      <c r="Y158" s="318">
        <f>$X$158*$K$158</f>
        <v>0.214</v>
      </c>
      <c r="Z158" s="318">
        <v>0</v>
      </c>
      <c r="AA158" s="319">
        <f>$Z$158*$K$158</f>
        <v>0</v>
      </c>
      <c r="AR158" s="240" t="s">
        <v>369</v>
      </c>
      <c r="AT158" s="240" t="s">
        <v>12</v>
      </c>
      <c r="AU158" s="240" t="s">
        <v>260</v>
      </c>
      <c r="AY158" s="240" t="s">
        <v>349</v>
      </c>
      <c r="BE158" s="320">
        <f>IF($U$158="základní",$N$158,0)</f>
        <v>0</v>
      </c>
      <c r="BF158" s="320">
        <f>IF($U$158="snížená",$N$158,0)</f>
        <v>0</v>
      </c>
      <c r="BG158" s="320">
        <f>IF($U$158="zákl. přenesená",$N$158,0)</f>
        <v>0</v>
      </c>
      <c r="BH158" s="320">
        <f>IF($U$158="sníž. přenesená",$N$158,0)</f>
        <v>0</v>
      </c>
      <c r="BI158" s="320">
        <f>IF($U$158="nulová",$N$158,0)</f>
        <v>0</v>
      </c>
      <c r="BJ158" s="240" t="s">
        <v>347</v>
      </c>
      <c r="BK158" s="320">
        <f>ROUND($L$158*$K$158,2)</f>
        <v>0</v>
      </c>
      <c r="BL158" s="240" t="s">
        <v>354</v>
      </c>
    </row>
    <row r="159" spans="2:64" s="240" customFormat="1" ht="27" customHeight="1">
      <c r="B159" s="247"/>
      <c r="C159" s="312" t="s">
        <v>451</v>
      </c>
      <c r="D159" s="312" t="s">
        <v>350</v>
      </c>
      <c r="E159" s="313" t="s">
        <v>452</v>
      </c>
      <c r="F159" s="442" t="s">
        <v>453</v>
      </c>
      <c r="G159" s="443"/>
      <c r="H159" s="443"/>
      <c r="I159" s="443"/>
      <c r="J159" s="314" t="s">
        <v>450</v>
      </c>
      <c r="K159" s="315">
        <v>4</v>
      </c>
      <c r="L159" s="444"/>
      <c r="M159" s="443"/>
      <c r="N159" s="444">
        <f>ROUND($L$159*$K$159,2)</f>
        <v>0</v>
      </c>
      <c r="O159" s="443"/>
      <c r="P159" s="443"/>
      <c r="Q159" s="443"/>
      <c r="R159" s="249"/>
      <c r="T159" s="316"/>
      <c r="U159" s="317" t="s">
        <v>298</v>
      </c>
      <c r="V159" s="318">
        <v>0.539</v>
      </c>
      <c r="W159" s="318">
        <f>$V$159*$K$159</f>
        <v>2.156</v>
      </c>
      <c r="X159" s="318">
        <v>7E-05</v>
      </c>
      <c r="Y159" s="318">
        <f>$X$159*$K$159</f>
        <v>0.00028</v>
      </c>
      <c r="Z159" s="318">
        <v>0</v>
      </c>
      <c r="AA159" s="319">
        <f>$Z$159*$K$159</f>
        <v>0</v>
      </c>
      <c r="AR159" s="240" t="s">
        <v>354</v>
      </c>
      <c r="AT159" s="240" t="s">
        <v>350</v>
      </c>
      <c r="AU159" s="240" t="s">
        <v>260</v>
      </c>
      <c r="AY159" s="240" t="s">
        <v>349</v>
      </c>
      <c r="BE159" s="320">
        <f>IF($U$159="základní",$N$159,0)</f>
        <v>0</v>
      </c>
      <c r="BF159" s="320">
        <f>IF($U$159="snížená",$N$159,0)</f>
        <v>0</v>
      </c>
      <c r="BG159" s="320">
        <f>IF($U$159="zákl. přenesená",$N$159,0)</f>
        <v>0</v>
      </c>
      <c r="BH159" s="320">
        <f>IF($U$159="sníž. přenesená",$N$159,0)</f>
        <v>0</v>
      </c>
      <c r="BI159" s="320">
        <f>IF($U$159="nulová",$N$159,0)</f>
        <v>0</v>
      </c>
      <c r="BJ159" s="240" t="s">
        <v>347</v>
      </c>
      <c r="BK159" s="320">
        <f>ROUND($L$159*$K$159,2)</f>
        <v>0</v>
      </c>
      <c r="BL159" s="240" t="s">
        <v>354</v>
      </c>
    </row>
    <row r="160" spans="2:64" s="240" customFormat="1" ht="27" customHeight="1">
      <c r="B160" s="247"/>
      <c r="C160" s="321" t="s">
        <v>454</v>
      </c>
      <c r="D160" s="321" t="s">
        <v>12</v>
      </c>
      <c r="E160" s="322" t="s">
        <v>455</v>
      </c>
      <c r="F160" s="445" t="s">
        <v>456</v>
      </c>
      <c r="G160" s="446"/>
      <c r="H160" s="446"/>
      <c r="I160" s="446"/>
      <c r="J160" s="323" t="s">
        <v>450</v>
      </c>
      <c r="K160" s="324">
        <v>4</v>
      </c>
      <c r="L160" s="447"/>
      <c r="M160" s="446"/>
      <c r="N160" s="447">
        <f>ROUND($L$160*$K$160,2)</f>
        <v>0</v>
      </c>
      <c r="O160" s="443"/>
      <c r="P160" s="443"/>
      <c r="Q160" s="443"/>
      <c r="R160" s="249"/>
      <c r="T160" s="316"/>
      <c r="U160" s="317" t="s">
        <v>298</v>
      </c>
      <c r="V160" s="318">
        <v>0</v>
      </c>
      <c r="W160" s="318">
        <f>$V$160*$K$160</f>
        <v>0</v>
      </c>
      <c r="X160" s="318">
        <v>0.01</v>
      </c>
      <c r="Y160" s="318">
        <f>$X$160*$K$160</f>
        <v>0.04</v>
      </c>
      <c r="Z160" s="318">
        <v>0</v>
      </c>
      <c r="AA160" s="319">
        <f>$Z$160*$K$160</f>
        <v>0</v>
      </c>
      <c r="AR160" s="240" t="s">
        <v>369</v>
      </c>
      <c r="AT160" s="240" t="s">
        <v>12</v>
      </c>
      <c r="AU160" s="240" t="s">
        <v>260</v>
      </c>
      <c r="AY160" s="240" t="s">
        <v>349</v>
      </c>
      <c r="BE160" s="320">
        <f>IF($U$160="základní",$N$160,0)</f>
        <v>0</v>
      </c>
      <c r="BF160" s="320">
        <f>IF($U$160="snížená",$N$160,0)</f>
        <v>0</v>
      </c>
      <c r="BG160" s="320">
        <f>IF($U$160="zákl. přenesená",$N$160,0)</f>
        <v>0</v>
      </c>
      <c r="BH160" s="320">
        <f>IF($U$160="sníž. přenesená",$N$160,0)</f>
        <v>0</v>
      </c>
      <c r="BI160" s="320">
        <f>IF($U$160="nulová",$N$160,0)</f>
        <v>0</v>
      </c>
      <c r="BJ160" s="240" t="s">
        <v>347</v>
      </c>
      <c r="BK160" s="320">
        <f>ROUND($L$160*$K$160,2)</f>
        <v>0</v>
      </c>
      <c r="BL160" s="240" t="s">
        <v>354</v>
      </c>
    </row>
    <row r="161" spans="2:64" s="240" customFormat="1" ht="27" customHeight="1">
      <c r="B161" s="247"/>
      <c r="C161" s="312" t="s">
        <v>457</v>
      </c>
      <c r="D161" s="312" t="s">
        <v>350</v>
      </c>
      <c r="E161" s="313" t="s">
        <v>458</v>
      </c>
      <c r="F161" s="442" t="s">
        <v>459</v>
      </c>
      <c r="G161" s="443"/>
      <c r="H161" s="443"/>
      <c r="I161" s="443"/>
      <c r="J161" s="314" t="s">
        <v>450</v>
      </c>
      <c r="K161" s="315">
        <v>4</v>
      </c>
      <c r="L161" s="444"/>
      <c r="M161" s="443"/>
      <c r="N161" s="444">
        <f>ROUND($L$161*$K$161,2)</f>
        <v>0</v>
      </c>
      <c r="O161" s="443"/>
      <c r="P161" s="443"/>
      <c r="Q161" s="443"/>
      <c r="R161" s="249"/>
      <c r="T161" s="316"/>
      <c r="U161" s="317" t="s">
        <v>298</v>
      </c>
      <c r="V161" s="318">
        <v>0.674</v>
      </c>
      <c r="W161" s="318">
        <f>$V$161*$K$161</f>
        <v>2.696</v>
      </c>
      <c r="X161" s="318">
        <v>7E-05</v>
      </c>
      <c r="Y161" s="318">
        <f>$X$161*$K$161</f>
        <v>0.00028</v>
      </c>
      <c r="Z161" s="318">
        <v>0</v>
      </c>
      <c r="AA161" s="319">
        <f>$Z$161*$K$161</f>
        <v>0</v>
      </c>
      <c r="AR161" s="240" t="s">
        <v>354</v>
      </c>
      <c r="AT161" s="240" t="s">
        <v>350</v>
      </c>
      <c r="AU161" s="240" t="s">
        <v>260</v>
      </c>
      <c r="AY161" s="240" t="s">
        <v>349</v>
      </c>
      <c r="BE161" s="320">
        <f>IF($U$161="základní",$N$161,0)</f>
        <v>0</v>
      </c>
      <c r="BF161" s="320">
        <f>IF($U$161="snížená",$N$161,0)</f>
        <v>0</v>
      </c>
      <c r="BG161" s="320">
        <f>IF($U$161="zákl. přenesená",$N$161,0)</f>
        <v>0</v>
      </c>
      <c r="BH161" s="320">
        <f>IF($U$161="sníž. přenesená",$N$161,0)</f>
        <v>0</v>
      </c>
      <c r="BI161" s="320">
        <f>IF($U$161="nulová",$N$161,0)</f>
        <v>0</v>
      </c>
      <c r="BJ161" s="240" t="s">
        <v>347</v>
      </c>
      <c r="BK161" s="320">
        <f>ROUND($L$161*$K$161,2)</f>
        <v>0</v>
      </c>
      <c r="BL161" s="240" t="s">
        <v>354</v>
      </c>
    </row>
    <row r="162" spans="2:64" s="240" customFormat="1" ht="27" customHeight="1">
      <c r="B162" s="247"/>
      <c r="C162" s="321" t="s">
        <v>460</v>
      </c>
      <c r="D162" s="321" t="s">
        <v>12</v>
      </c>
      <c r="E162" s="322" t="s">
        <v>461</v>
      </c>
      <c r="F162" s="445" t="s">
        <v>462</v>
      </c>
      <c r="G162" s="446"/>
      <c r="H162" s="446"/>
      <c r="I162" s="446"/>
      <c r="J162" s="323" t="s">
        <v>450</v>
      </c>
      <c r="K162" s="324">
        <v>4</v>
      </c>
      <c r="L162" s="447"/>
      <c r="M162" s="446"/>
      <c r="N162" s="447">
        <f>ROUND($L$162*$K$162,2)</f>
        <v>0</v>
      </c>
      <c r="O162" s="443"/>
      <c r="P162" s="443"/>
      <c r="Q162" s="443"/>
      <c r="R162" s="249"/>
      <c r="T162" s="316"/>
      <c r="U162" s="317" t="s">
        <v>298</v>
      </c>
      <c r="V162" s="318">
        <v>0</v>
      </c>
      <c r="W162" s="318">
        <f>$V$162*$K$162</f>
        <v>0</v>
      </c>
      <c r="X162" s="318">
        <v>0.015</v>
      </c>
      <c r="Y162" s="318">
        <f>$X$162*$K$162</f>
        <v>0.06</v>
      </c>
      <c r="Z162" s="318">
        <v>0</v>
      </c>
      <c r="AA162" s="319">
        <f>$Z$162*$K$162</f>
        <v>0</v>
      </c>
      <c r="AR162" s="240" t="s">
        <v>369</v>
      </c>
      <c r="AT162" s="240" t="s">
        <v>12</v>
      </c>
      <c r="AU162" s="240" t="s">
        <v>260</v>
      </c>
      <c r="AY162" s="240" t="s">
        <v>349</v>
      </c>
      <c r="BE162" s="320">
        <f>IF($U$162="základní",$N$162,0)</f>
        <v>0</v>
      </c>
      <c r="BF162" s="320">
        <f>IF($U$162="snížená",$N$162,0)</f>
        <v>0</v>
      </c>
      <c r="BG162" s="320">
        <f>IF($U$162="zákl. přenesená",$N$162,0)</f>
        <v>0</v>
      </c>
      <c r="BH162" s="320">
        <f>IF($U$162="sníž. přenesená",$N$162,0)</f>
        <v>0</v>
      </c>
      <c r="BI162" s="320">
        <f>IF($U$162="nulová",$N$162,0)</f>
        <v>0</v>
      </c>
      <c r="BJ162" s="240" t="s">
        <v>347</v>
      </c>
      <c r="BK162" s="320">
        <f>ROUND($L$162*$K$162,2)</f>
        <v>0</v>
      </c>
      <c r="BL162" s="240" t="s">
        <v>354</v>
      </c>
    </row>
    <row r="163" spans="2:64" s="240" customFormat="1" ht="27" customHeight="1">
      <c r="B163" s="247"/>
      <c r="C163" s="321" t="s">
        <v>463</v>
      </c>
      <c r="D163" s="321" t="s">
        <v>12</v>
      </c>
      <c r="E163" s="322" t="s">
        <v>464</v>
      </c>
      <c r="F163" s="445" t="s">
        <v>465</v>
      </c>
      <c r="G163" s="446"/>
      <c r="H163" s="446"/>
      <c r="I163" s="446"/>
      <c r="J163" s="323" t="s">
        <v>450</v>
      </c>
      <c r="K163" s="324">
        <v>1</v>
      </c>
      <c r="L163" s="447"/>
      <c r="M163" s="446"/>
      <c r="N163" s="447">
        <f>ROUND($L$163*$K$163,2)</f>
        <v>0</v>
      </c>
      <c r="O163" s="443"/>
      <c r="P163" s="443"/>
      <c r="Q163" s="443"/>
      <c r="R163" s="249"/>
      <c r="T163" s="316"/>
      <c r="U163" s="317" t="s">
        <v>298</v>
      </c>
      <c r="V163" s="318">
        <v>0</v>
      </c>
      <c r="W163" s="318">
        <f>$V$163*$K$163</f>
        <v>0</v>
      </c>
      <c r="X163" s="318">
        <v>0.0007</v>
      </c>
      <c r="Y163" s="318">
        <f>$X$163*$K$163</f>
        <v>0.0007</v>
      </c>
      <c r="Z163" s="318">
        <v>0</v>
      </c>
      <c r="AA163" s="319">
        <f>$Z$163*$K$163</f>
        <v>0</v>
      </c>
      <c r="AR163" s="240" t="s">
        <v>369</v>
      </c>
      <c r="AT163" s="240" t="s">
        <v>12</v>
      </c>
      <c r="AU163" s="240" t="s">
        <v>260</v>
      </c>
      <c r="AY163" s="240" t="s">
        <v>349</v>
      </c>
      <c r="BE163" s="320">
        <f>IF($U$163="základní",$N$163,0)</f>
        <v>0</v>
      </c>
      <c r="BF163" s="320">
        <f>IF($U$163="snížená",$N$163,0)</f>
        <v>0</v>
      </c>
      <c r="BG163" s="320">
        <f>IF($U$163="zákl. přenesená",$N$163,0)</f>
        <v>0</v>
      </c>
      <c r="BH163" s="320">
        <f>IF($U$163="sníž. přenesená",$N$163,0)</f>
        <v>0</v>
      </c>
      <c r="BI163" s="320">
        <f>IF($U$163="nulová",$N$163,0)</f>
        <v>0</v>
      </c>
      <c r="BJ163" s="240" t="s">
        <v>347</v>
      </c>
      <c r="BK163" s="320">
        <f>ROUND($L$163*$K$163,2)</f>
        <v>0</v>
      </c>
      <c r="BL163" s="240" t="s">
        <v>354</v>
      </c>
    </row>
    <row r="164" spans="2:64" s="240" customFormat="1" ht="27" customHeight="1">
      <c r="B164" s="247"/>
      <c r="C164" s="321" t="s">
        <v>466</v>
      </c>
      <c r="D164" s="321" t="s">
        <v>12</v>
      </c>
      <c r="E164" s="322" t="s">
        <v>467</v>
      </c>
      <c r="F164" s="445" t="s">
        <v>468</v>
      </c>
      <c r="G164" s="446"/>
      <c r="H164" s="446"/>
      <c r="I164" s="446"/>
      <c r="J164" s="323" t="s">
        <v>450</v>
      </c>
      <c r="K164" s="324">
        <v>2</v>
      </c>
      <c r="L164" s="447"/>
      <c r="M164" s="446"/>
      <c r="N164" s="447">
        <f>ROUND($L$164*$K$164,2)</f>
        <v>0</v>
      </c>
      <c r="O164" s="443"/>
      <c r="P164" s="443"/>
      <c r="Q164" s="443"/>
      <c r="R164" s="249"/>
      <c r="T164" s="316"/>
      <c r="U164" s="317" t="s">
        <v>298</v>
      </c>
      <c r="V164" s="318">
        <v>0</v>
      </c>
      <c r="W164" s="318">
        <f>$V$164*$K$164</f>
        <v>0</v>
      </c>
      <c r="X164" s="318">
        <v>0.00081</v>
      </c>
      <c r="Y164" s="318">
        <f>$X$164*$K$164</f>
        <v>0.00162</v>
      </c>
      <c r="Z164" s="318">
        <v>0</v>
      </c>
      <c r="AA164" s="319">
        <f>$Z$164*$K$164</f>
        <v>0</v>
      </c>
      <c r="AR164" s="240" t="s">
        <v>369</v>
      </c>
      <c r="AT164" s="240" t="s">
        <v>12</v>
      </c>
      <c r="AU164" s="240" t="s">
        <v>260</v>
      </c>
      <c r="AY164" s="240" t="s">
        <v>349</v>
      </c>
      <c r="BE164" s="320">
        <f>IF($U$164="základní",$N$164,0)</f>
        <v>0</v>
      </c>
      <c r="BF164" s="320">
        <f>IF($U$164="snížená",$N$164,0)</f>
        <v>0</v>
      </c>
      <c r="BG164" s="320">
        <f>IF($U$164="zákl. přenesená",$N$164,0)</f>
        <v>0</v>
      </c>
      <c r="BH164" s="320">
        <f>IF($U$164="sníž. přenesená",$N$164,0)</f>
        <v>0</v>
      </c>
      <c r="BI164" s="320">
        <f>IF($U$164="nulová",$N$164,0)</f>
        <v>0</v>
      </c>
      <c r="BJ164" s="240" t="s">
        <v>347</v>
      </c>
      <c r="BK164" s="320">
        <f>ROUND($L$164*$K$164,2)</f>
        <v>0</v>
      </c>
      <c r="BL164" s="240" t="s">
        <v>354</v>
      </c>
    </row>
    <row r="165" spans="2:64" s="240" customFormat="1" ht="27" customHeight="1">
      <c r="B165" s="247"/>
      <c r="C165" s="312" t="s">
        <v>469</v>
      </c>
      <c r="D165" s="312" t="s">
        <v>350</v>
      </c>
      <c r="E165" s="313" t="s">
        <v>470</v>
      </c>
      <c r="F165" s="442" t="s">
        <v>471</v>
      </c>
      <c r="G165" s="443"/>
      <c r="H165" s="443"/>
      <c r="I165" s="443"/>
      <c r="J165" s="314" t="s">
        <v>450</v>
      </c>
      <c r="K165" s="315">
        <v>13</v>
      </c>
      <c r="L165" s="444"/>
      <c r="M165" s="443"/>
      <c r="N165" s="444">
        <f>ROUND($L$165*$K$165,2)</f>
        <v>0</v>
      </c>
      <c r="O165" s="443"/>
      <c r="P165" s="443"/>
      <c r="Q165" s="443"/>
      <c r="R165" s="249"/>
      <c r="T165" s="316"/>
      <c r="U165" s="317" t="s">
        <v>298</v>
      </c>
      <c r="V165" s="318">
        <v>1.56</v>
      </c>
      <c r="W165" s="318">
        <f>$V$165*$K$165</f>
        <v>20.28</v>
      </c>
      <c r="X165" s="318">
        <v>0.06313</v>
      </c>
      <c r="Y165" s="318">
        <f>$X$165*$K$165</f>
        <v>0.82069</v>
      </c>
      <c r="Z165" s="318">
        <v>0</v>
      </c>
      <c r="AA165" s="319">
        <f>$Z$165*$K$165</f>
        <v>0</v>
      </c>
      <c r="AR165" s="240" t="s">
        <v>354</v>
      </c>
      <c r="AT165" s="240" t="s">
        <v>350</v>
      </c>
      <c r="AU165" s="240" t="s">
        <v>260</v>
      </c>
      <c r="AY165" s="240" t="s">
        <v>349</v>
      </c>
      <c r="BE165" s="320">
        <f>IF($U$165="základní",$N$165,0)</f>
        <v>0</v>
      </c>
      <c r="BF165" s="320">
        <f>IF($U$165="snížená",$N$165,0)</f>
        <v>0</v>
      </c>
      <c r="BG165" s="320">
        <f>IF($U$165="zákl. přenesená",$N$165,0)</f>
        <v>0</v>
      </c>
      <c r="BH165" s="320">
        <f>IF($U$165="sníž. přenesená",$N$165,0)</f>
        <v>0</v>
      </c>
      <c r="BI165" s="320">
        <f>IF($U$165="nulová",$N$165,0)</f>
        <v>0</v>
      </c>
      <c r="BJ165" s="240" t="s">
        <v>347</v>
      </c>
      <c r="BK165" s="320">
        <f>ROUND($L$165*$K$165,2)</f>
        <v>0</v>
      </c>
      <c r="BL165" s="240" t="s">
        <v>354</v>
      </c>
    </row>
    <row r="166" spans="2:64" s="240" customFormat="1" ht="27" customHeight="1">
      <c r="B166" s="247"/>
      <c r="C166" s="312" t="s">
        <v>472</v>
      </c>
      <c r="D166" s="312" t="s">
        <v>350</v>
      </c>
      <c r="E166" s="313" t="s">
        <v>473</v>
      </c>
      <c r="F166" s="442" t="s">
        <v>474</v>
      </c>
      <c r="G166" s="443"/>
      <c r="H166" s="443"/>
      <c r="I166" s="443"/>
      <c r="J166" s="314" t="s">
        <v>141</v>
      </c>
      <c r="K166" s="315">
        <v>4.5</v>
      </c>
      <c r="L166" s="444"/>
      <c r="M166" s="443"/>
      <c r="N166" s="444">
        <f>ROUND($L$166*$K$166,2)</f>
        <v>0</v>
      </c>
      <c r="O166" s="443"/>
      <c r="P166" s="443"/>
      <c r="Q166" s="443"/>
      <c r="R166" s="249"/>
      <c r="T166" s="316"/>
      <c r="U166" s="317" t="s">
        <v>298</v>
      </c>
      <c r="V166" s="318">
        <v>0.066</v>
      </c>
      <c r="W166" s="318">
        <f>$V$166*$K$166</f>
        <v>0.29700000000000004</v>
      </c>
      <c r="X166" s="318">
        <v>0</v>
      </c>
      <c r="Y166" s="318">
        <f>$X$166*$K$166</f>
        <v>0</v>
      </c>
      <c r="Z166" s="318">
        <v>0</v>
      </c>
      <c r="AA166" s="319">
        <f>$Z$166*$K$166</f>
        <v>0</v>
      </c>
      <c r="AR166" s="240" t="s">
        <v>354</v>
      </c>
      <c r="AT166" s="240" t="s">
        <v>350</v>
      </c>
      <c r="AU166" s="240" t="s">
        <v>260</v>
      </c>
      <c r="AY166" s="240" t="s">
        <v>349</v>
      </c>
      <c r="BE166" s="320">
        <f>IF($U$166="základní",$N$166,0)</f>
        <v>0</v>
      </c>
      <c r="BF166" s="320">
        <f>IF($U$166="snížená",$N$166,0)</f>
        <v>0</v>
      </c>
      <c r="BG166" s="320">
        <f>IF($U$166="zákl. přenesená",$N$166,0)</f>
        <v>0</v>
      </c>
      <c r="BH166" s="320">
        <f>IF($U$166="sníž. přenesená",$N$166,0)</f>
        <v>0</v>
      </c>
      <c r="BI166" s="320">
        <f>IF($U$166="nulová",$N$166,0)</f>
        <v>0</v>
      </c>
      <c r="BJ166" s="240" t="s">
        <v>347</v>
      </c>
      <c r="BK166" s="320">
        <f>ROUND($L$166*$K$166,2)</f>
        <v>0</v>
      </c>
      <c r="BL166" s="240" t="s">
        <v>354</v>
      </c>
    </row>
    <row r="167" spans="2:64" s="240" customFormat="1" ht="27" customHeight="1">
      <c r="B167" s="247"/>
      <c r="C167" s="312" t="s">
        <v>475</v>
      </c>
      <c r="D167" s="312" t="s">
        <v>350</v>
      </c>
      <c r="E167" s="313" t="s">
        <v>476</v>
      </c>
      <c r="F167" s="442" t="s">
        <v>477</v>
      </c>
      <c r="G167" s="443"/>
      <c r="H167" s="443"/>
      <c r="I167" s="443"/>
      <c r="J167" s="314" t="s">
        <v>141</v>
      </c>
      <c r="K167" s="315">
        <v>7</v>
      </c>
      <c r="L167" s="444"/>
      <c r="M167" s="443"/>
      <c r="N167" s="444">
        <f>ROUND($L$167*$K$167,2)</f>
        <v>0</v>
      </c>
      <c r="O167" s="443"/>
      <c r="P167" s="443"/>
      <c r="Q167" s="443"/>
      <c r="R167" s="249"/>
      <c r="T167" s="316"/>
      <c r="U167" s="317" t="s">
        <v>298</v>
      </c>
      <c r="V167" s="318">
        <v>0.312</v>
      </c>
      <c r="W167" s="318">
        <f>$V$167*$K$167</f>
        <v>2.184</v>
      </c>
      <c r="X167" s="318">
        <v>0</v>
      </c>
      <c r="Y167" s="318">
        <f>$X$167*$K$167</f>
        <v>0</v>
      </c>
      <c r="Z167" s="318">
        <v>0</v>
      </c>
      <c r="AA167" s="319">
        <f>$Z$167*$K$167</f>
        <v>0</v>
      </c>
      <c r="AR167" s="240" t="s">
        <v>354</v>
      </c>
      <c r="AT167" s="240" t="s">
        <v>350</v>
      </c>
      <c r="AU167" s="240" t="s">
        <v>260</v>
      </c>
      <c r="AY167" s="240" t="s">
        <v>349</v>
      </c>
      <c r="BE167" s="320">
        <f>IF($U$167="základní",$N$167,0)</f>
        <v>0</v>
      </c>
      <c r="BF167" s="320">
        <f>IF($U$167="snížená",$N$167,0)</f>
        <v>0</v>
      </c>
      <c r="BG167" s="320">
        <f>IF($U$167="zákl. přenesená",$N$167,0)</f>
        <v>0</v>
      </c>
      <c r="BH167" s="320">
        <f>IF($U$167="sníž. přenesená",$N$167,0)</f>
        <v>0</v>
      </c>
      <c r="BI167" s="320">
        <f>IF($U$167="nulová",$N$167,0)</f>
        <v>0</v>
      </c>
      <c r="BJ167" s="240" t="s">
        <v>347</v>
      </c>
      <c r="BK167" s="320">
        <f>ROUND($L$167*$K$167,2)</f>
        <v>0</v>
      </c>
      <c r="BL167" s="240" t="s">
        <v>354</v>
      </c>
    </row>
    <row r="168" spans="2:64" s="240" customFormat="1" ht="27" customHeight="1">
      <c r="B168" s="247"/>
      <c r="C168" s="321" t="s">
        <v>478</v>
      </c>
      <c r="D168" s="321" t="s">
        <v>12</v>
      </c>
      <c r="E168" s="322" t="s">
        <v>479</v>
      </c>
      <c r="F168" s="445" t="s">
        <v>480</v>
      </c>
      <c r="G168" s="446"/>
      <c r="H168" s="446"/>
      <c r="I168" s="446"/>
      <c r="J168" s="323" t="s">
        <v>450</v>
      </c>
      <c r="K168" s="324">
        <v>4.5</v>
      </c>
      <c r="L168" s="447"/>
      <c r="M168" s="446"/>
      <c r="N168" s="447">
        <f>ROUND($L$168*$K$168,2)</f>
        <v>0</v>
      </c>
      <c r="O168" s="443"/>
      <c r="P168" s="443"/>
      <c r="Q168" s="443"/>
      <c r="R168" s="249"/>
      <c r="T168" s="316"/>
      <c r="U168" s="317" t="s">
        <v>298</v>
      </c>
      <c r="V168" s="318">
        <v>0</v>
      </c>
      <c r="W168" s="318">
        <f>$V$168*$K$168</f>
        <v>0</v>
      </c>
      <c r="X168" s="318">
        <v>0.0087</v>
      </c>
      <c r="Y168" s="318">
        <f>$X$168*$K$168</f>
        <v>0.03915</v>
      </c>
      <c r="Z168" s="318">
        <v>0</v>
      </c>
      <c r="AA168" s="319">
        <f>$Z$168*$K$168</f>
        <v>0</v>
      </c>
      <c r="AR168" s="240" t="s">
        <v>369</v>
      </c>
      <c r="AT168" s="240" t="s">
        <v>12</v>
      </c>
      <c r="AU168" s="240" t="s">
        <v>260</v>
      </c>
      <c r="AY168" s="240" t="s">
        <v>349</v>
      </c>
      <c r="BE168" s="320">
        <f>IF($U$168="základní",$N$168,0)</f>
        <v>0</v>
      </c>
      <c r="BF168" s="320">
        <f>IF($U$168="snížená",$N$168,0)</f>
        <v>0</v>
      </c>
      <c r="BG168" s="320">
        <f>IF($U$168="zákl. přenesená",$N$168,0)</f>
        <v>0</v>
      </c>
      <c r="BH168" s="320">
        <f>IF($U$168="sníž. přenesená",$N$168,0)</f>
        <v>0</v>
      </c>
      <c r="BI168" s="320">
        <f>IF($U$168="nulová",$N$168,0)</f>
        <v>0</v>
      </c>
      <c r="BJ168" s="240" t="s">
        <v>347</v>
      </c>
      <c r="BK168" s="320">
        <f>ROUND($L$168*$K$168,2)</f>
        <v>0</v>
      </c>
      <c r="BL168" s="240" t="s">
        <v>354</v>
      </c>
    </row>
    <row r="169" spans="2:64" s="240" customFormat="1" ht="27" customHeight="1">
      <c r="B169" s="247"/>
      <c r="C169" s="321" t="s">
        <v>481</v>
      </c>
      <c r="D169" s="321" t="s">
        <v>12</v>
      </c>
      <c r="E169" s="322" t="s">
        <v>482</v>
      </c>
      <c r="F169" s="445" t="s">
        <v>483</v>
      </c>
      <c r="G169" s="446"/>
      <c r="H169" s="446"/>
      <c r="I169" s="446"/>
      <c r="J169" s="323" t="s">
        <v>450</v>
      </c>
      <c r="K169" s="324">
        <v>7</v>
      </c>
      <c r="L169" s="447"/>
      <c r="M169" s="446"/>
      <c r="N169" s="447">
        <f>ROUND($L$169*$K$169,2)</f>
        <v>0</v>
      </c>
      <c r="O169" s="443"/>
      <c r="P169" s="443"/>
      <c r="Q169" s="443"/>
      <c r="R169" s="249"/>
      <c r="T169" s="316"/>
      <c r="U169" s="317" t="s">
        <v>298</v>
      </c>
      <c r="V169" s="318">
        <v>0</v>
      </c>
      <c r="W169" s="318">
        <f>$V$169*$K$169</f>
        <v>0</v>
      </c>
      <c r="X169" s="318">
        <v>0.0046</v>
      </c>
      <c r="Y169" s="318">
        <f>$X$169*$K$169</f>
        <v>0.0322</v>
      </c>
      <c r="Z169" s="318">
        <v>0</v>
      </c>
      <c r="AA169" s="319">
        <f>$Z$169*$K$169</f>
        <v>0</v>
      </c>
      <c r="AR169" s="240" t="s">
        <v>369</v>
      </c>
      <c r="AT169" s="240" t="s">
        <v>12</v>
      </c>
      <c r="AU169" s="240" t="s">
        <v>260</v>
      </c>
      <c r="AY169" s="240" t="s">
        <v>349</v>
      </c>
      <c r="BE169" s="320">
        <f>IF($U$169="základní",$N$169,0)</f>
        <v>0</v>
      </c>
      <c r="BF169" s="320">
        <f>IF($U$169="snížená",$N$169,0)</f>
        <v>0</v>
      </c>
      <c r="BG169" s="320">
        <f>IF($U$169="zákl. přenesená",$N$169,0)</f>
        <v>0</v>
      </c>
      <c r="BH169" s="320">
        <f>IF($U$169="sníž. přenesená",$N$169,0)</f>
        <v>0</v>
      </c>
      <c r="BI169" s="320">
        <f>IF($U$169="nulová",$N$169,0)</f>
        <v>0</v>
      </c>
      <c r="BJ169" s="240" t="s">
        <v>347</v>
      </c>
      <c r="BK169" s="320">
        <f>ROUND($L$169*$K$169,2)</f>
        <v>0</v>
      </c>
      <c r="BL169" s="240" t="s">
        <v>354</v>
      </c>
    </row>
    <row r="170" spans="2:64" s="240" customFormat="1" ht="39" customHeight="1">
      <c r="B170" s="247"/>
      <c r="C170" s="312" t="s">
        <v>484</v>
      </c>
      <c r="D170" s="312" t="s">
        <v>350</v>
      </c>
      <c r="E170" s="313" t="s">
        <v>485</v>
      </c>
      <c r="F170" s="442" t="s">
        <v>486</v>
      </c>
      <c r="G170" s="443"/>
      <c r="H170" s="443"/>
      <c r="I170" s="443"/>
      <c r="J170" s="314" t="s">
        <v>450</v>
      </c>
      <c r="K170" s="315">
        <v>3</v>
      </c>
      <c r="L170" s="444"/>
      <c r="M170" s="443"/>
      <c r="N170" s="444">
        <f>ROUND($L$170*$K$170,2)</f>
        <v>0</v>
      </c>
      <c r="O170" s="443"/>
      <c r="P170" s="443"/>
      <c r="Q170" s="443"/>
      <c r="R170" s="249"/>
      <c r="T170" s="316"/>
      <c r="U170" s="317" t="s">
        <v>298</v>
      </c>
      <c r="V170" s="318">
        <v>0.683</v>
      </c>
      <c r="W170" s="318">
        <f>$V$170*$K$170</f>
        <v>2.0490000000000004</v>
      </c>
      <c r="X170" s="318">
        <v>0</v>
      </c>
      <c r="Y170" s="318">
        <f>$X$170*$K$170</f>
        <v>0</v>
      </c>
      <c r="Z170" s="318">
        <v>0</v>
      </c>
      <c r="AA170" s="319">
        <f>$Z$170*$K$170</f>
        <v>0</v>
      </c>
      <c r="AR170" s="240" t="s">
        <v>354</v>
      </c>
      <c r="AT170" s="240" t="s">
        <v>350</v>
      </c>
      <c r="AU170" s="240" t="s">
        <v>260</v>
      </c>
      <c r="AY170" s="240" t="s">
        <v>349</v>
      </c>
      <c r="BE170" s="320">
        <f>IF($U$170="základní",$N$170,0)</f>
        <v>0</v>
      </c>
      <c r="BF170" s="320">
        <f>IF($U$170="snížená",$N$170,0)</f>
        <v>0</v>
      </c>
      <c r="BG170" s="320">
        <f>IF($U$170="zákl. přenesená",$N$170,0)</f>
        <v>0</v>
      </c>
      <c r="BH170" s="320">
        <f>IF($U$170="sníž. přenesená",$N$170,0)</f>
        <v>0</v>
      </c>
      <c r="BI170" s="320">
        <f>IF($U$170="nulová",$N$170,0)</f>
        <v>0</v>
      </c>
      <c r="BJ170" s="240" t="s">
        <v>347</v>
      </c>
      <c r="BK170" s="320">
        <f>ROUND($L$170*$K$170,2)</f>
        <v>0</v>
      </c>
      <c r="BL170" s="240" t="s">
        <v>354</v>
      </c>
    </row>
    <row r="171" spans="2:64" s="240" customFormat="1" ht="39" customHeight="1">
      <c r="B171" s="247"/>
      <c r="C171" s="312" t="s">
        <v>487</v>
      </c>
      <c r="D171" s="312" t="s">
        <v>350</v>
      </c>
      <c r="E171" s="313" t="s">
        <v>488</v>
      </c>
      <c r="F171" s="442" t="s">
        <v>489</v>
      </c>
      <c r="G171" s="443"/>
      <c r="H171" s="443"/>
      <c r="I171" s="443"/>
      <c r="J171" s="314" t="s">
        <v>450</v>
      </c>
      <c r="K171" s="315">
        <v>1</v>
      </c>
      <c r="L171" s="444"/>
      <c r="M171" s="443"/>
      <c r="N171" s="444">
        <f>ROUND($L$171*$K$171,2)</f>
        <v>0</v>
      </c>
      <c r="O171" s="443"/>
      <c r="P171" s="443"/>
      <c r="Q171" s="443"/>
      <c r="R171" s="249"/>
      <c r="T171" s="316"/>
      <c r="U171" s="317" t="s">
        <v>298</v>
      </c>
      <c r="V171" s="318">
        <v>0.745</v>
      </c>
      <c r="W171" s="318">
        <f>$V$171*$K$171</f>
        <v>0.745</v>
      </c>
      <c r="X171" s="318">
        <v>1E-05</v>
      </c>
      <c r="Y171" s="318">
        <f>$X$171*$K$171</f>
        <v>1E-05</v>
      </c>
      <c r="Z171" s="318">
        <v>0</v>
      </c>
      <c r="AA171" s="319">
        <f>$Z$171*$K$171</f>
        <v>0</v>
      </c>
      <c r="AR171" s="240" t="s">
        <v>354</v>
      </c>
      <c r="AT171" s="240" t="s">
        <v>350</v>
      </c>
      <c r="AU171" s="240" t="s">
        <v>260</v>
      </c>
      <c r="AY171" s="240" t="s">
        <v>349</v>
      </c>
      <c r="BE171" s="320">
        <f>IF($U$171="základní",$N$171,0)</f>
        <v>0</v>
      </c>
      <c r="BF171" s="320">
        <f>IF($U$171="snížená",$N$171,0)</f>
        <v>0</v>
      </c>
      <c r="BG171" s="320">
        <f>IF($U$171="zákl. přenesená",$N$171,0)</f>
        <v>0</v>
      </c>
      <c r="BH171" s="320">
        <f>IF($U$171="sníž. přenesená",$N$171,0)</f>
        <v>0</v>
      </c>
      <c r="BI171" s="320">
        <f>IF($U$171="nulová",$N$171,0)</f>
        <v>0</v>
      </c>
      <c r="BJ171" s="240" t="s">
        <v>347</v>
      </c>
      <c r="BK171" s="320">
        <f>ROUND($L$171*$K$171,2)</f>
        <v>0</v>
      </c>
      <c r="BL171" s="240" t="s">
        <v>354</v>
      </c>
    </row>
    <row r="172" spans="2:64" s="240" customFormat="1" ht="15.75" customHeight="1">
      <c r="B172" s="247"/>
      <c r="C172" s="321" t="s">
        <v>490</v>
      </c>
      <c r="D172" s="321" t="s">
        <v>12</v>
      </c>
      <c r="E172" s="322" t="s">
        <v>491</v>
      </c>
      <c r="F172" s="445" t="s">
        <v>492</v>
      </c>
      <c r="G172" s="446"/>
      <c r="H172" s="446"/>
      <c r="I172" s="446"/>
      <c r="J172" s="323" t="s">
        <v>450</v>
      </c>
      <c r="K172" s="324">
        <v>3</v>
      </c>
      <c r="L172" s="447"/>
      <c r="M172" s="446"/>
      <c r="N172" s="447">
        <f>ROUND($L$172*$K$172,2)</f>
        <v>0</v>
      </c>
      <c r="O172" s="443"/>
      <c r="P172" s="443"/>
      <c r="Q172" s="443"/>
      <c r="R172" s="249"/>
      <c r="T172" s="316"/>
      <c r="U172" s="317" t="s">
        <v>298</v>
      </c>
      <c r="V172" s="318">
        <v>0</v>
      </c>
      <c r="W172" s="318">
        <f>$V$172*$K$172</f>
        <v>0</v>
      </c>
      <c r="X172" s="318">
        <v>0.0008</v>
      </c>
      <c r="Y172" s="318">
        <f>$X$172*$K$172</f>
        <v>0.0024000000000000002</v>
      </c>
      <c r="Z172" s="318">
        <v>0</v>
      </c>
      <c r="AA172" s="319">
        <f>$Z$172*$K$172</f>
        <v>0</v>
      </c>
      <c r="AR172" s="240" t="s">
        <v>369</v>
      </c>
      <c r="AT172" s="240" t="s">
        <v>12</v>
      </c>
      <c r="AU172" s="240" t="s">
        <v>260</v>
      </c>
      <c r="AY172" s="240" t="s">
        <v>349</v>
      </c>
      <c r="BE172" s="320">
        <f>IF($U$172="základní",$N$172,0)</f>
        <v>0</v>
      </c>
      <c r="BF172" s="320">
        <f>IF($U$172="snížená",$N$172,0)</f>
        <v>0</v>
      </c>
      <c r="BG172" s="320">
        <f>IF($U$172="zákl. přenesená",$N$172,0)</f>
        <v>0</v>
      </c>
      <c r="BH172" s="320">
        <f>IF($U$172="sníž. přenesená",$N$172,0)</f>
        <v>0</v>
      </c>
      <c r="BI172" s="320">
        <f>IF($U$172="nulová",$N$172,0)</f>
        <v>0</v>
      </c>
      <c r="BJ172" s="240" t="s">
        <v>347</v>
      </c>
      <c r="BK172" s="320">
        <f>ROUND($L$172*$K$172,2)</f>
        <v>0</v>
      </c>
      <c r="BL172" s="240" t="s">
        <v>354</v>
      </c>
    </row>
    <row r="173" spans="2:64" s="240" customFormat="1" ht="15.75" customHeight="1">
      <c r="B173" s="247"/>
      <c r="C173" s="321" t="s">
        <v>493</v>
      </c>
      <c r="D173" s="321" t="s">
        <v>12</v>
      </c>
      <c r="E173" s="322" t="s">
        <v>494</v>
      </c>
      <c r="F173" s="445" t="s">
        <v>495</v>
      </c>
      <c r="G173" s="446"/>
      <c r="H173" s="446"/>
      <c r="I173" s="446"/>
      <c r="J173" s="323" t="s">
        <v>450</v>
      </c>
      <c r="K173" s="324">
        <v>1</v>
      </c>
      <c r="L173" s="447"/>
      <c r="M173" s="446"/>
      <c r="N173" s="447">
        <f>ROUND($L$173*$K$173,2)</f>
        <v>0</v>
      </c>
      <c r="O173" s="443"/>
      <c r="P173" s="443"/>
      <c r="Q173" s="443"/>
      <c r="R173" s="249"/>
      <c r="T173" s="316"/>
      <c r="U173" s="317" t="s">
        <v>298</v>
      </c>
      <c r="V173" s="318">
        <v>0</v>
      </c>
      <c r="W173" s="318">
        <f>$V$173*$K$173</f>
        <v>0</v>
      </c>
      <c r="X173" s="318">
        <v>0.0012</v>
      </c>
      <c r="Y173" s="318">
        <f>$X$173*$K$173</f>
        <v>0.0012</v>
      </c>
      <c r="Z173" s="318">
        <v>0</v>
      </c>
      <c r="AA173" s="319">
        <f>$Z$173*$K$173</f>
        <v>0</v>
      </c>
      <c r="AR173" s="240" t="s">
        <v>369</v>
      </c>
      <c r="AT173" s="240" t="s">
        <v>12</v>
      </c>
      <c r="AU173" s="240" t="s">
        <v>260</v>
      </c>
      <c r="AY173" s="240" t="s">
        <v>349</v>
      </c>
      <c r="BE173" s="320">
        <f>IF($U$173="základní",$N$173,0)</f>
        <v>0</v>
      </c>
      <c r="BF173" s="320">
        <f>IF($U$173="snížená",$N$173,0)</f>
        <v>0</v>
      </c>
      <c r="BG173" s="320">
        <f>IF($U$173="zákl. přenesená",$N$173,0)</f>
        <v>0</v>
      </c>
      <c r="BH173" s="320">
        <f>IF($U$173="sníž. přenesená",$N$173,0)</f>
        <v>0</v>
      </c>
      <c r="BI173" s="320">
        <f>IF($U$173="nulová",$N$173,0)</f>
        <v>0</v>
      </c>
      <c r="BJ173" s="240" t="s">
        <v>347</v>
      </c>
      <c r="BK173" s="320">
        <f>ROUND($L$173*$K$173,2)</f>
        <v>0</v>
      </c>
      <c r="BL173" s="240" t="s">
        <v>354</v>
      </c>
    </row>
    <row r="174" spans="2:64" s="240" customFormat="1" ht="27" customHeight="1">
      <c r="B174" s="247"/>
      <c r="C174" s="312" t="s">
        <v>496</v>
      </c>
      <c r="D174" s="312" t="s">
        <v>350</v>
      </c>
      <c r="E174" s="313" t="s">
        <v>497</v>
      </c>
      <c r="F174" s="442" t="s">
        <v>498</v>
      </c>
      <c r="G174" s="443"/>
      <c r="H174" s="443"/>
      <c r="I174" s="443"/>
      <c r="J174" s="314" t="s">
        <v>499</v>
      </c>
      <c r="K174" s="315">
        <v>1</v>
      </c>
      <c r="L174" s="444"/>
      <c r="M174" s="443"/>
      <c r="N174" s="444">
        <f>ROUND($L$174*$K$174,2)</f>
        <v>0</v>
      </c>
      <c r="O174" s="443"/>
      <c r="P174" s="443"/>
      <c r="Q174" s="443"/>
      <c r="R174" s="249"/>
      <c r="T174" s="316"/>
      <c r="U174" s="317" t="s">
        <v>298</v>
      </c>
      <c r="V174" s="318">
        <v>0.836</v>
      </c>
      <c r="W174" s="318">
        <f>$V$174*$K$174</f>
        <v>0.836</v>
      </c>
      <c r="X174" s="318">
        <v>0.00031</v>
      </c>
      <c r="Y174" s="318">
        <f>$X$174*$K$174</f>
        <v>0.00031</v>
      </c>
      <c r="Z174" s="318">
        <v>0</v>
      </c>
      <c r="AA174" s="319">
        <f>$Z$174*$K$174</f>
        <v>0</v>
      </c>
      <c r="AR174" s="240" t="s">
        <v>354</v>
      </c>
      <c r="AT174" s="240" t="s">
        <v>350</v>
      </c>
      <c r="AU174" s="240" t="s">
        <v>260</v>
      </c>
      <c r="AY174" s="240" t="s">
        <v>349</v>
      </c>
      <c r="BE174" s="320">
        <f>IF($U$174="základní",$N$174,0)</f>
        <v>0</v>
      </c>
      <c r="BF174" s="320">
        <f>IF($U$174="snížená",$N$174,0)</f>
        <v>0</v>
      </c>
      <c r="BG174" s="320">
        <f>IF($U$174="zákl. přenesená",$N$174,0)</f>
        <v>0</v>
      </c>
      <c r="BH174" s="320">
        <f>IF($U$174="sníž. přenesená",$N$174,0)</f>
        <v>0</v>
      </c>
      <c r="BI174" s="320">
        <f>IF($U$174="nulová",$N$174,0)</f>
        <v>0</v>
      </c>
      <c r="BJ174" s="240" t="s">
        <v>347</v>
      </c>
      <c r="BK174" s="320">
        <f>ROUND($L$174*$K$174,2)</f>
        <v>0</v>
      </c>
      <c r="BL174" s="240" t="s">
        <v>354</v>
      </c>
    </row>
    <row r="175" spans="2:64" s="240" customFormat="1" ht="27" customHeight="1">
      <c r="B175" s="247"/>
      <c r="C175" s="312" t="s">
        <v>500</v>
      </c>
      <c r="D175" s="312" t="s">
        <v>350</v>
      </c>
      <c r="E175" s="313" t="s">
        <v>501</v>
      </c>
      <c r="F175" s="442" t="s">
        <v>502</v>
      </c>
      <c r="G175" s="443"/>
      <c r="H175" s="443"/>
      <c r="I175" s="443"/>
      <c r="J175" s="314" t="s">
        <v>499</v>
      </c>
      <c r="K175" s="315">
        <v>5</v>
      </c>
      <c r="L175" s="444"/>
      <c r="M175" s="443"/>
      <c r="N175" s="444">
        <f>ROUND($L$175*$K$175,2)</f>
        <v>0</v>
      </c>
      <c r="O175" s="443"/>
      <c r="P175" s="443"/>
      <c r="Q175" s="443"/>
      <c r="R175" s="249"/>
      <c r="T175" s="316"/>
      <c r="U175" s="317" t="s">
        <v>298</v>
      </c>
      <c r="V175" s="318">
        <v>2.022</v>
      </c>
      <c r="W175" s="318">
        <f>$V$175*$K$175</f>
        <v>10.11</v>
      </c>
      <c r="X175" s="318">
        <v>0.0005</v>
      </c>
      <c r="Y175" s="318">
        <f>$X$175*$K$175</f>
        <v>0.0025</v>
      </c>
      <c r="Z175" s="318">
        <v>0</v>
      </c>
      <c r="AA175" s="319">
        <f>$Z$175*$K$175</f>
        <v>0</v>
      </c>
      <c r="AR175" s="240" t="s">
        <v>354</v>
      </c>
      <c r="AT175" s="240" t="s">
        <v>350</v>
      </c>
      <c r="AU175" s="240" t="s">
        <v>260</v>
      </c>
      <c r="AY175" s="240" t="s">
        <v>349</v>
      </c>
      <c r="BE175" s="320">
        <f>IF($U$175="základní",$N$175,0)</f>
        <v>0</v>
      </c>
      <c r="BF175" s="320">
        <f>IF($U$175="snížená",$N$175,0)</f>
        <v>0</v>
      </c>
      <c r="BG175" s="320">
        <f>IF($U$175="zákl. přenesená",$N$175,0)</f>
        <v>0</v>
      </c>
      <c r="BH175" s="320">
        <f>IF($U$175="sníž. přenesená",$N$175,0)</f>
        <v>0</v>
      </c>
      <c r="BI175" s="320">
        <f>IF($U$175="nulová",$N$175,0)</f>
        <v>0</v>
      </c>
      <c r="BJ175" s="240" t="s">
        <v>347</v>
      </c>
      <c r="BK175" s="320">
        <f>ROUND($L$175*$K$175,2)</f>
        <v>0</v>
      </c>
      <c r="BL175" s="240" t="s">
        <v>354</v>
      </c>
    </row>
    <row r="176" spans="2:64" s="240" customFormat="1" ht="27" customHeight="1">
      <c r="B176" s="247"/>
      <c r="C176" s="312" t="s">
        <v>503</v>
      </c>
      <c r="D176" s="312" t="s">
        <v>350</v>
      </c>
      <c r="E176" s="313" t="s">
        <v>504</v>
      </c>
      <c r="F176" s="442" t="s">
        <v>505</v>
      </c>
      <c r="G176" s="443"/>
      <c r="H176" s="443"/>
      <c r="I176" s="443"/>
      <c r="J176" s="314" t="s">
        <v>499</v>
      </c>
      <c r="K176" s="315">
        <v>7</v>
      </c>
      <c r="L176" s="444"/>
      <c r="M176" s="443"/>
      <c r="N176" s="444">
        <f>ROUND($L$176*$K$176,2)</f>
        <v>0</v>
      </c>
      <c r="O176" s="443"/>
      <c r="P176" s="443"/>
      <c r="Q176" s="443"/>
      <c r="R176" s="249"/>
      <c r="T176" s="316"/>
      <c r="U176" s="317" t="s">
        <v>298</v>
      </c>
      <c r="V176" s="318">
        <v>2.889</v>
      </c>
      <c r="W176" s="318">
        <f>$V$176*$K$176</f>
        <v>20.223</v>
      </c>
      <c r="X176" s="318">
        <v>0.00122</v>
      </c>
      <c r="Y176" s="318">
        <f>$X$176*$K$176</f>
        <v>0.008539999999999999</v>
      </c>
      <c r="Z176" s="318">
        <v>0</v>
      </c>
      <c r="AA176" s="319">
        <f>$Z$176*$K$176</f>
        <v>0</v>
      </c>
      <c r="AR176" s="240" t="s">
        <v>354</v>
      </c>
      <c r="AT176" s="240" t="s">
        <v>350</v>
      </c>
      <c r="AU176" s="240" t="s">
        <v>260</v>
      </c>
      <c r="AY176" s="240" t="s">
        <v>349</v>
      </c>
      <c r="BE176" s="320">
        <f>IF($U$176="základní",$N$176,0)</f>
        <v>0</v>
      </c>
      <c r="BF176" s="320">
        <f>IF($U$176="snížená",$N$176,0)</f>
        <v>0</v>
      </c>
      <c r="BG176" s="320">
        <f>IF($U$176="zákl. přenesená",$N$176,0)</f>
        <v>0</v>
      </c>
      <c r="BH176" s="320">
        <f>IF($U$176="sníž. přenesená",$N$176,0)</f>
        <v>0</v>
      </c>
      <c r="BI176" s="320">
        <f>IF($U$176="nulová",$N$176,0)</f>
        <v>0</v>
      </c>
      <c r="BJ176" s="240" t="s">
        <v>347</v>
      </c>
      <c r="BK176" s="320">
        <f>ROUND($L$176*$K$176,2)</f>
        <v>0</v>
      </c>
      <c r="BL176" s="240" t="s">
        <v>354</v>
      </c>
    </row>
    <row r="177" spans="2:64" s="240" customFormat="1" ht="15.75" customHeight="1">
      <c r="B177" s="247"/>
      <c r="C177" s="312" t="s">
        <v>506</v>
      </c>
      <c r="D177" s="312" t="s">
        <v>350</v>
      </c>
      <c r="E177" s="313" t="s">
        <v>507</v>
      </c>
      <c r="F177" s="442" t="s">
        <v>508</v>
      </c>
      <c r="G177" s="443"/>
      <c r="H177" s="443"/>
      <c r="I177" s="443"/>
      <c r="J177" s="314" t="s">
        <v>141</v>
      </c>
      <c r="K177" s="315">
        <v>118.5</v>
      </c>
      <c r="L177" s="444"/>
      <c r="M177" s="443"/>
      <c r="N177" s="444">
        <f>ROUND($L$177*$K$177,2)</f>
        <v>0</v>
      </c>
      <c r="O177" s="443"/>
      <c r="P177" s="443"/>
      <c r="Q177" s="443"/>
      <c r="R177" s="249"/>
      <c r="T177" s="316"/>
      <c r="U177" s="317" t="s">
        <v>298</v>
      </c>
      <c r="V177" s="318">
        <v>0</v>
      </c>
      <c r="W177" s="318">
        <f>$V$177*$K$177</f>
        <v>0</v>
      </c>
      <c r="X177" s="318">
        <v>0</v>
      </c>
      <c r="Y177" s="318">
        <f>$X$177*$K$177</f>
        <v>0</v>
      </c>
      <c r="Z177" s="318">
        <v>0</v>
      </c>
      <c r="AA177" s="319">
        <f>$Z$177*$K$177</f>
        <v>0</v>
      </c>
      <c r="AR177" s="240" t="s">
        <v>354</v>
      </c>
      <c r="AT177" s="240" t="s">
        <v>350</v>
      </c>
      <c r="AU177" s="240" t="s">
        <v>260</v>
      </c>
      <c r="AY177" s="240" t="s">
        <v>349</v>
      </c>
      <c r="BE177" s="320">
        <f>IF($U$177="základní",$N$177,0)</f>
        <v>0</v>
      </c>
      <c r="BF177" s="320">
        <f>IF($U$177="snížená",$N$177,0)</f>
        <v>0</v>
      </c>
      <c r="BG177" s="320">
        <f>IF($U$177="zákl. přenesená",$N$177,0)</f>
        <v>0</v>
      </c>
      <c r="BH177" s="320">
        <f>IF($U$177="sníž. přenesená",$N$177,0)</f>
        <v>0</v>
      </c>
      <c r="BI177" s="320">
        <f>IF($U$177="nulová",$N$177,0)</f>
        <v>0</v>
      </c>
      <c r="BJ177" s="240" t="s">
        <v>347</v>
      </c>
      <c r="BK177" s="320">
        <f>ROUND($L$177*$K$177,2)</f>
        <v>0</v>
      </c>
      <c r="BL177" s="240" t="s">
        <v>354</v>
      </c>
    </row>
    <row r="178" spans="2:64" s="240" customFormat="1" ht="27" customHeight="1">
      <c r="B178" s="247"/>
      <c r="C178" s="312" t="s">
        <v>509</v>
      </c>
      <c r="D178" s="312" t="s">
        <v>350</v>
      </c>
      <c r="E178" s="313" t="s">
        <v>510</v>
      </c>
      <c r="F178" s="442" t="s">
        <v>511</v>
      </c>
      <c r="G178" s="443"/>
      <c r="H178" s="443"/>
      <c r="I178" s="443"/>
      <c r="J178" s="314" t="s">
        <v>450</v>
      </c>
      <c r="K178" s="315">
        <v>7</v>
      </c>
      <c r="L178" s="444"/>
      <c r="M178" s="443"/>
      <c r="N178" s="444">
        <f>ROUND($L$178*$K$178,2)</f>
        <v>0</v>
      </c>
      <c r="O178" s="443"/>
      <c r="P178" s="443"/>
      <c r="Q178" s="443"/>
      <c r="R178" s="249"/>
      <c r="T178" s="316"/>
      <c r="U178" s="317" t="s">
        <v>298</v>
      </c>
      <c r="V178" s="318">
        <v>23.844</v>
      </c>
      <c r="W178" s="318">
        <f>$V$178*$K$178</f>
        <v>166.90800000000002</v>
      </c>
      <c r="X178" s="318">
        <v>2.49083</v>
      </c>
      <c r="Y178" s="318">
        <f>$X$178*$K$178</f>
        <v>17.43581</v>
      </c>
      <c r="Z178" s="318">
        <v>0</v>
      </c>
      <c r="AA178" s="319">
        <f>$Z$178*$K$178</f>
        <v>0</v>
      </c>
      <c r="AR178" s="240" t="s">
        <v>354</v>
      </c>
      <c r="AT178" s="240" t="s">
        <v>350</v>
      </c>
      <c r="AU178" s="240" t="s">
        <v>260</v>
      </c>
      <c r="AY178" s="240" t="s">
        <v>349</v>
      </c>
      <c r="BE178" s="320">
        <f>IF($U$178="základní",$N$178,0)</f>
        <v>0</v>
      </c>
      <c r="BF178" s="320">
        <f>IF($U$178="snížená",$N$178,0)</f>
        <v>0</v>
      </c>
      <c r="BG178" s="320">
        <f>IF($U$178="zákl. přenesená",$N$178,0)</f>
        <v>0</v>
      </c>
      <c r="BH178" s="320">
        <f>IF($U$178="sníž. přenesená",$N$178,0)</f>
        <v>0</v>
      </c>
      <c r="BI178" s="320">
        <f>IF($U$178="nulová",$N$178,0)</f>
        <v>0</v>
      </c>
      <c r="BJ178" s="240" t="s">
        <v>347</v>
      </c>
      <c r="BK178" s="320">
        <f>ROUND($L$178*$K$178,2)</f>
        <v>0</v>
      </c>
      <c r="BL178" s="240" t="s">
        <v>354</v>
      </c>
    </row>
    <row r="179" spans="2:64" s="240" customFormat="1" ht="27" customHeight="1">
      <c r="B179" s="247"/>
      <c r="C179" s="321" t="s">
        <v>512</v>
      </c>
      <c r="D179" s="321" t="s">
        <v>12</v>
      </c>
      <c r="E179" s="322" t="s">
        <v>513</v>
      </c>
      <c r="F179" s="445" t="s">
        <v>514</v>
      </c>
      <c r="G179" s="446"/>
      <c r="H179" s="446"/>
      <c r="I179" s="446"/>
      <c r="J179" s="323" t="s">
        <v>450</v>
      </c>
      <c r="K179" s="324">
        <v>3</v>
      </c>
      <c r="L179" s="447"/>
      <c r="M179" s="446"/>
      <c r="N179" s="447">
        <f>ROUND($L$179*$K$179,2)</f>
        <v>0</v>
      </c>
      <c r="O179" s="443"/>
      <c r="P179" s="443"/>
      <c r="Q179" s="443"/>
      <c r="R179" s="249"/>
      <c r="T179" s="316"/>
      <c r="U179" s="317" t="s">
        <v>298</v>
      </c>
      <c r="V179" s="318">
        <v>0</v>
      </c>
      <c r="W179" s="318">
        <f>$V$179*$K$179</f>
        <v>0</v>
      </c>
      <c r="X179" s="318">
        <v>0.04</v>
      </c>
      <c r="Y179" s="318">
        <f>$X$179*$K$179</f>
        <v>0.12</v>
      </c>
      <c r="Z179" s="318">
        <v>0</v>
      </c>
      <c r="AA179" s="319">
        <f>$Z$179*$K$179</f>
        <v>0</v>
      </c>
      <c r="AR179" s="240" t="s">
        <v>369</v>
      </c>
      <c r="AT179" s="240" t="s">
        <v>12</v>
      </c>
      <c r="AU179" s="240" t="s">
        <v>260</v>
      </c>
      <c r="AY179" s="240" t="s">
        <v>349</v>
      </c>
      <c r="BE179" s="320">
        <f>IF($U$179="základní",$N$179,0)</f>
        <v>0</v>
      </c>
      <c r="BF179" s="320">
        <f>IF($U$179="snížená",$N$179,0)</f>
        <v>0</v>
      </c>
      <c r="BG179" s="320">
        <f>IF($U$179="zákl. přenesená",$N$179,0)</f>
        <v>0</v>
      </c>
      <c r="BH179" s="320">
        <f>IF($U$179="sníž. přenesená",$N$179,0)</f>
        <v>0</v>
      </c>
      <c r="BI179" s="320">
        <f>IF($U$179="nulová",$N$179,0)</f>
        <v>0</v>
      </c>
      <c r="BJ179" s="240" t="s">
        <v>347</v>
      </c>
      <c r="BK179" s="320">
        <f>ROUND($L$179*$K$179,2)</f>
        <v>0</v>
      </c>
      <c r="BL179" s="240" t="s">
        <v>354</v>
      </c>
    </row>
    <row r="180" spans="2:64" s="240" customFormat="1" ht="27" customHeight="1">
      <c r="B180" s="247"/>
      <c r="C180" s="321" t="s">
        <v>515</v>
      </c>
      <c r="D180" s="321" t="s">
        <v>12</v>
      </c>
      <c r="E180" s="322" t="s">
        <v>516</v>
      </c>
      <c r="F180" s="445" t="s">
        <v>517</v>
      </c>
      <c r="G180" s="446"/>
      <c r="H180" s="446"/>
      <c r="I180" s="446"/>
      <c r="J180" s="323" t="s">
        <v>450</v>
      </c>
      <c r="K180" s="324">
        <v>2</v>
      </c>
      <c r="L180" s="447"/>
      <c r="M180" s="446"/>
      <c r="N180" s="447">
        <f>ROUND($L$180*$K$180,2)</f>
        <v>0</v>
      </c>
      <c r="O180" s="443"/>
      <c r="P180" s="443"/>
      <c r="Q180" s="443"/>
      <c r="R180" s="249"/>
      <c r="T180" s="316"/>
      <c r="U180" s="317" t="s">
        <v>298</v>
      </c>
      <c r="V180" s="318">
        <v>0</v>
      </c>
      <c r="W180" s="318">
        <f>$V$180*$K$180</f>
        <v>0</v>
      </c>
      <c r="X180" s="318">
        <v>0.054</v>
      </c>
      <c r="Y180" s="318">
        <f>$X$180*$K$180</f>
        <v>0.108</v>
      </c>
      <c r="Z180" s="318">
        <v>0</v>
      </c>
      <c r="AA180" s="319">
        <f>$Z$180*$K$180</f>
        <v>0</v>
      </c>
      <c r="AR180" s="240" t="s">
        <v>369</v>
      </c>
      <c r="AT180" s="240" t="s">
        <v>12</v>
      </c>
      <c r="AU180" s="240" t="s">
        <v>260</v>
      </c>
      <c r="AY180" s="240" t="s">
        <v>349</v>
      </c>
      <c r="BE180" s="320">
        <f>IF($U$180="základní",$N$180,0)</f>
        <v>0</v>
      </c>
      <c r="BF180" s="320">
        <f>IF($U$180="snížená",$N$180,0)</f>
        <v>0</v>
      </c>
      <c r="BG180" s="320">
        <f>IF($U$180="zákl. přenesená",$N$180,0)</f>
        <v>0</v>
      </c>
      <c r="BH180" s="320">
        <f>IF($U$180="sníž. přenesená",$N$180,0)</f>
        <v>0</v>
      </c>
      <c r="BI180" s="320">
        <f>IF($U$180="nulová",$N$180,0)</f>
        <v>0</v>
      </c>
      <c r="BJ180" s="240" t="s">
        <v>347</v>
      </c>
      <c r="BK180" s="320">
        <f>ROUND($L$180*$K$180,2)</f>
        <v>0</v>
      </c>
      <c r="BL180" s="240" t="s">
        <v>354</v>
      </c>
    </row>
    <row r="181" spans="2:64" s="240" customFormat="1" ht="27" customHeight="1">
      <c r="B181" s="247"/>
      <c r="C181" s="321" t="s">
        <v>518</v>
      </c>
      <c r="D181" s="321" t="s">
        <v>12</v>
      </c>
      <c r="E181" s="322" t="s">
        <v>519</v>
      </c>
      <c r="F181" s="445" t="s">
        <v>520</v>
      </c>
      <c r="G181" s="446"/>
      <c r="H181" s="446"/>
      <c r="I181" s="446"/>
      <c r="J181" s="323" t="s">
        <v>450</v>
      </c>
      <c r="K181" s="324">
        <v>4</v>
      </c>
      <c r="L181" s="447"/>
      <c r="M181" s="446"/>
      <c r="N181" s="447">
        <f>ROUND($L$181*$K$181,2)</f>
        <v>0</v>
      </c>
      <c r="O181" s="443"/>
      <c r="P181" s="443"/>
      <c r="Q181" s="443"/>
      <c r="R181" s="249"/>
      <c r="T181" s="316"/>
      <c r="U181" s="317" t="s">
        <v>298</v>
      </c>
      <c r="V181" s="318">
        <v>0</v>
      </c>
      <c r="W181" s="318">
        <f>$V$181*$K$181</f>
        <v>0</v>
      </c>
      <c r="X181" s="318">
        <v>0.068</v>
      </c>
      <c r="Y181" s="318">
        <f>$X$181*$K$181</f>
        <v>0.272</v>
      </c>
      <c r="Z181" s="318">
        <v>0</v>
      </c>
      <c r="AA181" s="319">
        <f>$Z$181*$K$181</f>
        <v>0</v>
      </c>
      <c r="AR181" s="240" t="s">
        <v>369</v>
      </c>
      <c r="AT181" s="240" t="s">
        <v>12</v>
      </c>
      <c r="AU181" s="240" t="s">
        <v>260</v>
      </c>
      <c r="AY181" s="240" t="s">
        <v>349</v>
      </c>
      <c r="BE181" s="320">
        <f>IF($U$181="základní",$N$181,0)</f>
        <v>0</v>
      </c>
      <c r="BF181" s="320">
        <f>IF($U$181="snížená",$N$181,0)</f>
        <v>0</v>
      </c>
      <c r="BG181" s="320">
        <f>IF($U$181="zákl. přenesená",$N$181,0)</f>
        <v>0</v>
      </c>
      <c r="BH181" s="320">
        <f>IF($U$181="sníž. přenesená",$N$181,0)</f>
        <v>0</v>
      </c>
      <c r="BI181" s="320">
        <f>IF($U$181="nulová",$N$181,0)</f>
        <v>0</v>
      </c>
      <c r="BJ181" s="240" t="s">
        <v>347</v>
      </c>
      <c r="BK181" s="320">
        <f>ROUND($L$181*$K$181,2)</f>
        <v>0</v>
      </c>
      <c r="BL181" s="240" t="s">
        <v>354</v>
      </c>
    </row>
    <row r="182" spans="2:64" s="240" customFormat="1" ht="27" customHeight="1">
      <c r="B182" s="247"/>
      <c r="C182" s="321" t="s">
        <v>521</v>
      </c>
      <c r="D182" s="321" t="s">
        <v>12</v>
      </c>
      <c r="E182" s="322" t="s">
        <v>522</v>
      </c>
      <c r="F182" s="445" t="s">
        <v>523</v>
      </c>
      <c r="G182" s="446"/>
      <c r="H182" s="446"/>
      <c r="I182" s="446"/>
      <c r="J182" s="323" t="s">
        <v>450</v>
      </c>
      <c r="K182" s="324">
        <v>7</v>
      </c>
      <c r="L182" s="447"/>
      <c r="M182" s="446"/>
      <c r="N182" s="447">
        <f>ROUND($L$182*$K$182,2)</f>
        <v>0</v>
      </c>
      <c r="O182" s="443"/>
      <c r="P182" s="443"/>
      <c r="Q182" s="443"/>
      <c r="R182" s="249"/>
      <c r="T182" s="316"/>
      <c r="U182" s="317" t="s">
        <v>298</v>
      </c>
      <c r="V182" s="318">
        <v>0</v>
      </c>
      <c r="W182" s="318">
        <f>$V$182*$K$182</f>
        <v>0</v>
      </c>
      <c r="X182" s="318">
        <v>0.585</v>
      </c>
      <c r="Y182" s="318">
        <f>$X$182*$K$182</f>
        <v>4.095</v>
      </c>
      <c r="Z182" s="318">
        <v>0</v>
      </c>
      <c r="AA182" s="319">
        <f>$Z$182*$K$182</f>
        <v>0</v>
      </c>
      <c r="AR182" s="240" t="s">
        <v>369</v>
      </c>
      <c r="AT182" s="240" t="s">
        <v>12</v>
      </c>
      <c r="AU182" s="240" t="s">
        <v>260</v>
      </c>
      <c r="AY182" s="240" t="s">
        <v>349</v>
      </c>
      <c r="BE182" s="320">
        <f>IF($U$182="základní",$N$182,0)</f>
        <v>0</v>
      </c>
      <c r="BF182" s="320">
        <f>IF($U$182="snížená",$N$182,0)</f>
        <v>0</v>
      </c>
      <c r="BG182" s="320">
        <f>IF($U$182="zákl. přenesená",$N$182,0)</f>
        <v>0</v>
      </c>
      <c r="BH182" s="320">
        <f>IF($U$182="sníž. přenesená",$N$182,0)</f>
        <v>0</v>
      </c>
      <c r="BI182" s="320">
        <f>IF($U$182="nulová",$N$182,0)</f>
        <v>0</v>
      </c>
      <c r="BJ182" s="240" t="s">
        <v>347</v>
      </c>
      <c r="BK182" s="320">
        <f>ROUND($L$182*$K$182,2)</f>
        <v>0</v>
      </c>
      <c r="BL182" s="240" t="s">
        <v>354</v>
      </c>
    </row>
    <row r="183" spans="2:64" s="240" customFormat="1" ht="27" customHeight="1">
      <c r="B183" s="247"/>
      <c r="C183" s="321" t="s">
        <v>524</v>
      </c>
      <c r="D183" s="321" t="s">
        <v>12</v>
      </c>
      <c r="E183" s="322" t="s">
        <v>525</v>
      </c>
      <c r="F183" s="445" t="s">
        <v>526</v>
      </c>
      <c r="G183" s="446"/>
      <c r="H183" s="446"/>
      <c r="I183" s="446"/>
      <c r="J183" s="323" t="s">
        <v>450</v>
      </c>
      <c r="K183" s="324">
        <v>1</v>
      </c>
      <c r="L183" s="447"/>
      <c r="M183" s="446"/>
      <c r="N183" s="447">
        <f>ROUND($L$183*$K$183,2)</f>
        <v>0</v>
      </c>
      <c r="O183" s="443"/>
      <c r="P183" s="443"/>
      <c r="Q183" s="443"/>
      <c r="R183" s="249"/>
      <c r="T183" s="316"/>
      <c r="U183" s="317" t="s">
        <v>298</v>
      </c>
      <c r="V183" s="318">
        <v>0</v>
      </c>
      <c r="W183" s="318">
        <f>$V$183*$K$183</f>
        <v>0</v>
      </c>
      <c r="X183" s="318">
        <v>0.93</v>
      </c>
      <c r="Y183" s="318">
        <f>$X$183*$K$183</f>
        <v>0.93</v>
      </c>
      <c r="Z183" s="318">
        <v>0</v>
      </c>
      <c r="AA183" s="319">
        <f>$Z$183*$K$183</f>
        <v>0</v>
      </c>
      <c r="AR183" s="240" t="s">
        <v>369</v>
      </c>
      <c r="AT183" s="240" t="s">
        <v>12</v>
      </c>
      <c r="AU183" s="240" t="s">
        <v>260</v>
      </c>
      <c r="AY183" s="240" t="s">
        <v>349</v>
      </c>
      <c r="BE183" s="320">
        <f>IF($U$183="základní",$N$183,0)</f>
        <v>0</v>
      </c>
      <c r="BF183" s="320">
        <f>IF($U$183="snížená",$N$183,0)</f>
        <v>0</v>
      </c>
      <c r="BG183" s="320">
        <f>IF($U$183="zákl. přenesená",$N$183,0)</f>
        <v>0</v>
      </c>
      <c r="BH183" s="320">
        <f>IF($U$183="sníž. přenesená",$N$183,0)</f>
        <v>0</v>
      </c>
      <c r="BI183" s="320">
        <f>IF($U$183="nulová",$N$183,0)</f>
        <v>0</v>
      </c>
      <c r="BJ183" s="240" t="s">
        <v>347</v>
      </c>
      <c r="BK183" s="320">
        <f>ROUND($L$183*$K$183,2)</f>
        <v>0</v>
      </c>
      <c r="BL183" s="240" t="s">
        <v>354</v>
      </c>
    </row>
    <row r="184" spans="2:64" s="240" customFormat="1" ht="27" customHeight="1">
      <c r="B184" s="247"/>
      <c r="C184" s="321" t="s">
        <v>527</v>
      </c>
      <c r="D184" s="321" t="s">
        <v>12</v>
      </c>
      <c r="E184" s="322" t="s">
        <v>528</v>
      </c>
      <c r="F184" s="445" t="s">
        <v>529</v>
      </c>
      <c r="G184" s="446"/>
      <c r="H184" s="446"/>
      <c r="I184" s="446"/>
      <c r="J184" s="323" t="s">
        <v>450</v>
      </c>
      <c r="K184" s="324">
        <v>3</v>
      </c>
      <c r="L184" s="447"/>
      <c r="M184" s="446"/>
      <c r="N184" s="447">
        <f>ROUND($L$184*$K$184,2)</f>
        <v>0</v>
      </c>
      <c r="O184" s="443"/>
      <c r="P184" s="443"/>
      <c r="Q184" s="443"/>
      <c r="R184" s="249"/>
      <c r="T184" s="316"/>
      <c r="U184" s="317" t="s">
        <v>298</v>
      </c>
      <c r="V184" s="318">
        <v>0</v>
      </c>
      <c r="W184" s="318">
        <f>$V$184*$K$184</f>
        <v>0</v>
      </c>
      <c r="X184" s="318">
        <v>0.25</v>
      </c>
      <c r="Y184" s="318">
        <f>$X$184*$K$184</f>
        <v>0.75</v>
      </c>
      <c r="Z184" s="318">
        <v>0</v>
      </c>
      <c r="AA184" s="319">
        <f>$Z$184*$K$184</f>
        <v>0</v>
      </c>
      <c r="AR184" s="240" t="s">
        <v>369</v>
      </c>
      <c r="AT184" s="240" t="s">
        <v>12</v>
      </c>
      <c r="AU184" s="240" t="s">
        <v>260</v>
      </c>
      <c r="AY184" s="240" t="s">
        <v>349</v>
      </c>
      <c r="BE184" s="320">
        <f>IF($U$184="základní",$N$184,0)</f>
        <v>0</v>
      </c>
      <c r="BF184" s="320">
        <f>IF($U$184="snížená",$N$184,0)</f>
        <v>0</v>
      </c>
      <c r="BG184" s="320">
        <f>IF($U$184="zákl. přenesená",$N$184,0)</f>
        <v>0</v>
      </c>
      <c r="BH184" s="320">
        <f>IF($U$184="sníž. přenesená",$N$184,0)</f>
        <v>0</v>
      </c>
      <c r="BI184" s="320">
        <f>IF($U$184="nulová",$N$184,0)</f>
        <v>0</v>
      </c>
      <c r="BJ184" s="240" t="s">
        <v>347</v>
      </c>
      <c r="BK184" s="320">
        <f>ROUND($L$184*$K$184,2)</f>
        <v>0</v>
      </c>
      <c r="BL184" s="240" t="s">
        <v>354</v>
      </c>
    </row>
    <row r="185" spans="2:64" s="240" customFormat="1" ht="27" customHeight="1">
      <c r="B185" s="247"/>
      <c r="C185" s="321" t="s">
        <v>530</v>
      </c>
      <c r="D185" s="321" t="s">
        <v>12</v>
      </c>
      <c r="E185" s="322" t="s">
        <v>531</v>
      </c>
      <c r="F185" s="445" t="s">
        <v>532</v>
      </c>
      <c r="G185" s="446"/>
      <c r="H185" s="446"/>
      <c r="I185" s="446"/>
      <c r="J185" s="323" t="s">
        <v>450</v>
      </c>
      <c r="K185" s="324">
        <v>5</v>
      </c>
      <c r="L185" s="447"/>
      <c r="M185" s="446"/>
      <c r="N185" s="447">
        <f>ROUND($L$185*$K$185,2)</f>
        <v>0</v>
      </c>
      <c r="O185" s="443"/>
      <c r="P185" s="443"/>
      <c r="Q185" s="443"/>
      <c r="R185" s="249"/>
      <c r="T185" s="316"/>
      <c r="U185" s="317" t="s">
        <v>298</v>
      </c>
      <c r="V185" s="318">
        <v>0</v>
      </c>
      <c r="W185" s="318">
        <f>$V$185*$K$185</f>
        <v>0</v>
      </c>
      <c r="X185" s="318">
        <v>0.5</v>
      </c>
      <c r="Y185" s="318">
        <f>$X$185*$K$185</f>
        <v>2.5</v>
      </c>
      <c r="Z185" s="318">
        <v>0</v>
      </c>
      <c r="AA185" s="319">
        <f>$Z$185*$K$185</f>
        <v>0</v>
      </c>
      <c r="AR185" s="240" t="s">
        <v>369</v>
      </c>
      <c r="AT185" s="240" t="s">
        <v>12</v>
      </c>
      <c r="AU185" s="240" t="s">
        <v>260</v>
      </c>
      <c r="AY185" s="240" t="s">
        <v>349</v>
      </c>
      <c r="BE185" s="320">
        <f>IF($U$185="základní",$N$185,0)</f>
        <v>0</v>
      </c>
      <c r="BF185" s="320">
        <f>IF($U$185="snížená",$N$185,0)</f>
        <v>0</v>
      </c>
      <c r="BG185" s="320">
        <f>IF($U$185="zákl. přenesená",$N$185,0)</f>
        <v>0</v>
      </c>
      <c r="BH185" s="320">
        <f>IF($U$185="sníž. přenesená",$N$185,0)</f>
        <v>0</v>
      </c>
      <c r="BI185" s="320">
        <f>IF($U$185="nulová",$N$185,0)</f>
        <v>0</v>
      </c>
      <c r="BJ185" s="240" t="s">
        <v>347</v>
      </c>
      <c r="BK185" s="320">
        <f>ROUND($L$185*$K$185,2)</f>
        <v>0</v>
      </c>
      <c r="BL185" s="240" t="s">
        <v>354</v>
      </c>
    </row>
    <row r="186" spans="2:64" s="240" customFormat="1" ht="27" customHeight="1">
      <c r="B186" s="247"/>
      <c r="C186" s="321" t="s">
        <v>533</v>
      </c>
      <c r="D186" s="321" t="s">
        <v>12</v>
      </c>
      <c r="E186" s="322" t="s">
        <v>534</v>
      </c>
      <c r="F186" s="445" t="s">
        <v>535</v>
      </c>
      <c r="G186" s="446"/>
      <c r="H186" s="446"/>
      <c r="I186" s="446"/>
      <c r="J186" s="323" t="s">
        <v>450</v>
      </c>
      <c r="K186" s="324">
        <v>2</v>
      </c>
      <c r="L186" s="447"/>
      <c r="M186" s="446"/>
      <c r="N186" s="447">
        <f>ROUND($L$186*$K$186,2)</f>
        <v>0</v>
      </c>
      <c r="O186" s="443"/>
      <c r="P186" s="443"/>
      <c r="Q186" s="443"/>
      <c r="R186" s="249"/>
      <c r="T186" s="316"/>
      <c r="U186" s="317" t="s">
        <v>298</v>
      </c>
      <c r="V186" s="318">
        <v>0</v>
      </c>
      <c r="W186" s="318">
        <f>$V$186*$K$186</f>
        <v>0</v>
      </c>
      <c r="X186" s="318">
        <v>1</v>
      </c>
      <c r="Y186" s="318">
        <f>$X$186*$K$186</f>
        <v>2</v>
      </c>
      <c r="Z186" s="318">
        <v>0</v>
      </c>
      <c r="AA186" s="319">
        <f>$Z$186*$K$186</f>
        <v>0</v>
      </c>
      <c r="AR186" s="240" t="s">
        <v>369</v>
      </c>
      <c r="AT186" s="240" t="s">
        <v>12</v>
      </c>
      <c r="AU186" s="240" t="s">
        <v>260</v>
      </c>
      <c r="AY186" s="240" t="s">
        <v>349</v>
      </c>
      <c r="BE186" s="320">
        <f>IF($U$186="základní",$N$186,0)</f>
        <v>0</v>
      </c>
      <c r="BF186" s="320">
        <f>IF($U$186="snížená",$N$186,0)</f>
        <v>0</v>
      </c>
      <c r="BG186" s="320">
        <f>IF($U$186="zákl. přenesená",$N$186,0)</f>
        <v>0</v>
      </c>
      <c r="BH186" s="320">
        <f>IF($U$186="sníž. přenesená",$N$186,0)</f>
        <v>0</v>
      </c>
      <c r="BI186" s="320">
        <f>IF($U$186="nulová",$N$186,0)</f>
        <v>0</v>
      </c>
      <c r="BJ186" s="240" t="s">
        <v>347</v>
      </c>
      <c r="BK186" s="320">
        <f>ROUND($L$186*$K$186,2)</f>
        <v>0</v>
      </c>
      <c r="BL186" s="240" t="s">
        <v>354</v>
      </c>
    </row>
    <row r="187" spans="2:64" s="240" customFormat="1" ht="27" customHeight="1">
      <c r="B187" s="247"/>
      <c r="C187" s="321" t="s">
        <v>536</v>
      </c>
      <c r="D187" s="321" t="s">
        <v>12</v>
      </c>
      <c r="E187" s="322" t="s">
        <v>537</v>
      </c>
      <c r="F187" s="445" t="s">
        <v>538</v>
      </c>
      <c r="G187" s="446"/>
      <c r="H187" s="446"/>
      <c r="I187" s="446"/>
      <c r="J187" s="323" t="s">
        <v>450</v>
      </c>
      <c r="K187" s="324">
        <v>5</v>
      </c>
      <c r="L187" s="447"/>
      <c r="M187" s="446"/>
      <c r="N187" s="447">
        <f>ROUND($L$187*$K$187,2)</f>
        <v>0</v>
      </c>
      <c r="O187" s="443"/>
      <c r="P187" s="443"/>
      <c r="Q187" s="443"/>
      <c r="R187" s="249"/>
      <c r="T187" s="316"/>
      <c r="U187" s="317" t="s">
        <v>298</v>
      </c>
      <c r="V187" s="318">
        <v>0</v>
      </c>
      <c r="W187" s="318">
        <f>$V$187*$K$187</f>
        <v>0</v>
      </c>
      <c r="X187" s="318">
        <v>1.87</v>
      </c>
      <c r="Y187" s="318">
        <f>$X$187*$K$187</f>
        <v>9.350000000000001</v>
      </c>
      <c r="Z187" s="318">
        <v>0</v>
      </c>
      <c r="AA187" s="319">
        <f>$Z$187*$K$187</f>
        <v>0</v>
      </c>
      <c r="AR187" s="240" t="s">
        <v>369</v>
      </c>
      <c r="AT187" s="240" t="s">
        <v>12</v>
      </c>
      <c r="AU187" s="240" t="s">
        <v>260</v>
      </c>
      <c r="AY187" s="240" t="s">
        <v>349</v>
      </c>
      <c r="BE187" s="320">
        <f>IF($U$187="základní",$N$187,0)</f>
        <v>0</v>
      </c>
      <c r="BF187" s="320">
        <f>IF($U$187="snížená",$N$187,0)</f>
        <v>0</v>
      </c>
      <c r="BG187" s="320">
        <f>IF($U$187="zákl. přenesená",$N$187,0)</f>
        <v>0</v>
      </c>
      <c r="BH187" s="320">
        <f>IF($U$187="sníž. přenesená",$N$187,0)</f>
        <v>0</v>
      </c>
      <c r="BI187" s="320">
        <f>IF($U$187="nulová",$N$187,0)</f>
        <v>0</v>
      </c>
      <c r="BJ187" s="240" t="s">
        <v>347</v>
      </c>
      <c r="BK187" s="320">
        <f>ROUND($L$187*$K$187,2)</f>
        <v>0</v>
      </c>
      <c r="BL187" s="240" t="s">
        <v>354</v>
      </c>
    </row>
    <row r="188" spans="2:64" s="240" customFormat="1" ht="27" customHeight="1">
      <c r="B188" s="247"/>
      <c r="C188" s="321" t="s">
        <v>539</v>
      </c>
      <c r="D188" s="321" t="s">
        <v>12</v>
      </c>
      <c r="E188" s="322" t="s">
        <v>540</v>
      </c>
      <c r="F188" s="445" t="s">
        <v>541</v>
      </c>
      <c r="G188" s="446"/>
      <c r="H188" s="446"/>
      <c r="I188" s="446"/>
      <c r="J188" s="323" t="s">
        <v>450</v>
      </c>
      <c r="K188" s="324">
        <v>1</v>
      </c>
      <c r="L188" s="447"/>
      <c r="M188" s="446"/>
      <c r="N188" s="447">
        <f>ROUND($L$188*$K$188,2)</f>
        <v>0</v>
      </c>
      <c r="O188" s="443"/>
      <c r="P188" s="443"/>
      <c r="Q188" s="443"/>
      <c r="R188" s="249"/>
      <c r="T188" s="316"/>
      <c r="U188" s="317" t="s">
        <v>298</v>
      </c>
      <c r="V188" s="318">
        <v>0</v>
      </c>
      <c r="W188" s="318">
        <f>$V$188*$K$188</f>
        <v>0</v>
      </c>
      <c r="X188" s="318">
        <v>5.2</v>
      </c>
      <c r="Y188" s="318">
        <f>$X$188*$K$188</f>
        <v>5.2</v>
      </c>
      <c r="Z188" s="318">
        <v>0</v>
      </c>
      <c r="AA188" s="319">
        <f>$Z$188*$K$188</f>
        <v>0</v>
      </c>
      <c r="AR188" s="240" t="s">
        <v>369</v>
      </c>
      <c r="AT188" s="240" t="s">
        <v>12</v>
      </c>
      <c r="AU188" s="240" t="s">
        <v>260</v>
      </c>
      <c r="AY188" s="240" t="s">
        <v>349</v>
      </c>
      <c r="BE188" s="320">
        <f>IF($U$188="základní",$N$188,0)</f>
        <v>0</v>
      </c>
      <c r="BF188" s="320">
        <f>IF($U$188="snížená",$N$188,0)</f>
        <v>0</v>
      </c>
      <c r="BG188" s="320">
        <f>IF($U$188="zákl. přenesená",$N$188,0)</f>
        <v>0</v>
      </c>
      <c r="BH188" s="320">
        <f>IF($U$188="sníž. přenesená",$N$188,0)</f>
        <v>0</v>
      </c>
      <c r="BI188" s="320">
        <f>IF($U$188="nulová",$N$188,0)</f>
        <v>0</v>
      </c>
      <c r="BJ188" s="240" t="s">
        <v>347</v>
      </c>
      <c r="BK188" s="320">
        <f>ROUND($L$188*$K$188,2)</f>
        <v>0</v>
      </c>
      <c r="BL188" s="240" t="s">
        <v>354</v>
      </c>
    </row>
    <row r="189" spans="2:64" s="240" customFormat="1" ht="27" customHeight="1">
      <c r="B189" s="247"/>
      <c r="C189" s="321" t="s">
        <v>542</v>
      </c>
      <c r="D189" s="321" t="s">
        <v>12</v>
      </c>
      <c r="E189" s="322" t="s">
        <v>543</v>
      </c>
      <c r="F189" s="445" t="s">
        <v>544</v>
      </c>
      <c r="G189" s="446"/>
      <c r="H189" s="446"/>
      <c r="I189" s="446"/>
      <c r="J189" s="323" t="s">
        <v>450</v>
      </c>
      <c r="K189" s="324">
        <v>1</v>
      </c>
      <c r="L189" s="447"/>
      <c r="M189" s="446"/>
      <c r="N189" s="447">
        <f>ROUND($L$189*$K$189,2)</f>
        <v>0</v>
      </c>
      <c r="O189" s="443"/>
      <c r="P189" s="443"/>
      <c r="Q189" s="443"/>
      <c r="R189" s="249"/>
      <c r="T189" s="316"/>
      <c r="U189" s="317" t="s">
        <v>298</v>
      </c>
      <c r="V189" s="318">
        <v>0</v>
      </c>
      <c r="W189" s="318">
        <f>$V$189*$K$189</f>
        <v>0</v>
      </c>
      <c r="X189" s="318">
        <v>2.1</v>
      </c>
      <c r="Y189" s="318">
        <f>$X$189*$K$189</f>
        <v>2.1</v>
      </c>
      <c r="Z189" s="318">
        <v>0</v>
      </c>
      <c r="AA189" s="319">
        <f>$Z$189*$K$189</f>
        <v>0</v>
      </c>
      <c r="AR189" s="240" t="s">
        <v>369</v>
      </c>
      <c r="AT189" s="240" t="s">
        <v>12</v>
      </c>
      <c r="AU189" s="240" t="s">
        <v>260</v>
      </c>
      <c r="AY189" s="240" t="s">
        <v>349</v>
      </c>
      <c r="BE189" s="320">
        <f>IF($U$189="základní",$N$189,0)</f>
        <v>0</v>
      </c>
      <c r="BF189" s="320">
        <f>IF($U$189="snížená",$N$189,0)</f>
        <v>0</v>
      </c>
      <c r="BG189" s="320">
        <f>IF($U$189="zákl. přenesená",$N$189,0)</f>
        <v>0</v>
      </c>
      <c r="BH189" s="320">
        <f>IF($U$189="sníž. přenesená",$N$189,0)</f>
        <v>0</v>
      </c>
      <c r="BI189" s="320">
        <f>IF($U$189="nulová",$N$189,0)</f>
        <v>0</v>
      </c>
      <c r="BJ189" s="240" t="s">
        <v>347</v>
      </c>
      <c r="BK189" s="320">
        <f>ROUND($L$189*$K$189,2)</f>
        <v>0</v>
      </c>
      <c r="BL189" s="240" t="s">
        <v>354</v>
      </c>
    </row>
    <row r="190" spans="2:64" s="240" customFormat="1" ht="27" customHeight="1">
      <c r="B190" s="247"/>
      <c r="C190" s="321" t="s">
        <v>545</v>
      </c>
      <c r="D190" s="321" t="s">
        <v>12</v>
      </c>
      <c r="E190" s="322" t="s">
        <v>546</v>
      </c>
      <c r="F190" s="445" t="s">
        <v>547</v>
      </c>
      <c r="G190" s="446"/>
      <c r="H190" s="446"/>
      <c r="I190" s="446"/>
      <c r="J190" s="323" t="s">
        <v>450</v>
      </c>
      <c r="K190" s="324">
        <v>17</v>
      </c>
      <c r="L190" s="447"/>
      <c r="M190" s="446"/>
      <c r="N190" s="447">
        <f>ROUND($L$190*$K$190,2)</f>
        <v>0</v>
      </c>
      <c r="O190" s="443"/>
      <c r="P190" s="443"/>
      <c r="Q190" s="443"/>
      <c r="R190" s="249"/>
      <c r="T190" s="316"/>
      <c r="U190" s="317" t="s">
        <v>298</v>
      </c>
      <c r="V190" s="318">
        <v>0</v>
      </c>
      <c r="W190" s="318">
        <f>$V$190*$K$190</f>
        <v>0</v>
      </c>
      <c r="X190" s="318">
        <v>0.002</v>
      </c>
      <c r="Y190" s="318">
        <f>$X$190*$K$190</f>
        <v>0.034</v>
      </c>
      <c r="Z190" s="318">
        <v>0</v>
      </c>
      <c r="AA190" s="319">
        <f>$Z$190*$K$190</f>
        <v>0</v>
      </c>
      <c r="AR190" s="240" t="s">
        <v>369</v>
      </c>
      <c r="AT190" s="240" t="s">
        <v>12</v>
      </c>
      <c r="AU190" s="240" t="s">
        <v>260</v>
      </c>
      <c r="AY190" s="240" t="s">
        <v>349</v>
      </c>
      <c r="BE190" s="320">
        <f>IF($U$190="základní",$N$190,0)</f>
        <v>0</v>
      </c>
      <c r="BF190" s="320">
        <f>IF($U$190="snížená",$N$190,0)</f>
        <v>0</v>
      </c>
      <c r="BG190" s="320">
        <f>IF($U$190="zákl. přenesená",$N$190,0)</f>
        <v>0</v>
      </c>
      <c r="BH190" s="320">
        <f>IF($U$190="sníž. přenesená",$N$190,0)</f>
        <v>0</v>
      </c>
      <c r="BI190" s="320">
        <f>IF($U$190="nulová",$N$190,0)</f>
        <v>0</v>
      </c>
      <c r="BJ190" s="240" t="s">
        <v>347</v>
      </c>
      <c r="BK190" s="320">
        <f>ROUND($L$190*$K$190,2)</f>
        <v>0</v>
      </c>
      <c r="BL190" s="240" t="s">
        <v>354</v>
      </c>
    </row>
    <row r="191" spans="2:64" s="240" customFormat="1" ht="27" customHeight="1">
      <c r="B191" s="247"/>
      <c r="C191" s="321" t="s">
        <v>548</v>
      </c>
      <c r="D191" s="321" t="s">
        <v>12</v>
      </c>
      <c r="E191" s="322" t="s">
        <v>549</v>
      </c>
      <c r="F191" s="445" t="s">
        <v>550</v>
      </c>
      <c r="G191" s="446"/>
      <c r="H191" s="446"/>
      <c r="I191" s="446"/>
      <c r="J191" s="323" t="s">
        <v>450</v>
      </c>
      <c r="K191" s="324">
        <v>1</v>
      </c>
      <c r="L191" s="447"/>
      <c r="M191" s="446"/>
      <c r="N191" s="447">
        <f>ROUND($L$191*$K$191,2)</f>
        <v>0</v>
      </c>
      <c r="O191" s="443"/>
      <c r="P191" s="443"/>
      <c r="Q191" s="443"/>
      <c r="R191" s="249"/>
      <c r="T191" s="316"/>
      <c r="U191" s="317" t="s">
        <v>298</v>
      </c>
      <c r="V191" s="318">
        <v>0</v>
      </c>
      <c r="W191" s="318">
        <f>$V$191*$K$191</f>
        <v>0</v>
      </c>
      <c r="X191" s="318">
        <v>0.002</v>
      </c>
      <c r="Y191" s="318">
        <f>$X$191*$K$191</f>
        <v>0.002</v>
      </c>
      <c r="Z191" s="318">
        <v>0</v>
      </c>
      <c r="AA191" s="319">
        <f>$Z$191*$K$191</f>
        <v>0</v>
      </c>
      <c r="AR191" s="240" t="s">
        <v>369</v>
      </c>
      <c r="AT191" s="240" t="s">
        <v>12</v>
      </c>
      <c r="AU191" s="240" t="s">
        <v>260</v>
      </c>
      <c r="AY191" s="240" t="s">
        <v>349</v>
      </c>
      <c r="BE191" s="320">
        <f>IF($U$191="základní",$N$191,0)</f>
        <v>0</v>
      </c>
      <c r="BF191" s="320">
        <f>IF($U$191="snížená",$N$191,0)</f>
        <v>0</v>
      </c>
      <c r="BG191" s="320">
        <f>IF($U$191="zákl. přenesená",$N$191,0)</f>
        <v>0</v>
      </c>
      <c r="BH191" s="320">
        <f>IF($U$191="sníž. přenesená",$N$191,0)</f>
        <v>0</v>
      </c>
      <c r="BI191" s="320">
        <f>IF($U$191="nulová",$N$191,0)</f>
        <v>0</v>
      </c>
      <c r="BJ191" s="240" t="s">
        <v>347</v>
      </c>
      <c r="BK191" s="320">
        <f>ROUND($L$191*$K$191,2)</f>
        <v>0</v>
      </c>
      <c r="BL191" s="240" t="s">
        <v>354</v>
      </c>
    </row>
    <row r="192" spans="2:64" s="240" customFormat="1" ht="27" customHeight="1">
      <c r="B192" s="247"/>
      <c r="C192" s="321" t="s">
        <v>551</v>
      </c>
      <c r="D192" s="321" t="s">
        <v>12</v>
      </c>
      <c r="E192" s="322" t="s">
        <v>552</v>
      </c>
      <c r="F192" s="445" t="s">
        <v>553</v>
      </c>
      <c r="G192" s="446"/>
      <c r="H192" s="446"/>
      <c r="I192" s="446"/>
      <c r="J192" s="323" t="s">
        <v>450</v>
      </c>
      <c r="K192" s="324">
        <v>7</v>
      </c>
      <c r="L192" s="447"/>
      <c r="M192" s="446"/>
      <c r="N192" s="447">
        <f>ROUND($L$192*$K$192,2)</f>
        <v>0</v>
      </c>
      <c r="O192" s="443"/>
      <c r="P192" s="443"/>
      <c r="Q192" s="443"/>
      <c r="R192" s="249"/>
      <c r="T192" s="316"/>
      <c r="U192" s="317" t="s">
        <v>298</v>
      </c>
      <c r="V192" s="318">
        <v>0</v>
      </c>
      <c r="W192" s="318">
        <f>$V$192*$K$192</f>
        <v>0</v>
      </c>
      <c r="X192" s="318">
        <v>0.165</v>
      </c>
      <c r="Y192" s="318">
        <f>$X$192*$K$192</f>
        <v>1.155</v>
      </c>
      <c r="Z192" s="318">
        <v>0</v>
      </c>
      <c r="AA192" s="319">
        <f>$Z$192*$K$192</f>
        <v>0</v>
      </c>
      <c r="AR192" s="240" t="s">
        <v>369</v>
      </c>
      <c r="AT192" s="240" t="s">
        <v>12</v>
      </c>
      <c r="AU192" s="240" t="s">
        <v>260</v>
      </c>
      <c r="AY192" s="240" t="s">
        <v>349</v>
      </c>
      <c r="BE192" s="320">
        <f>IF($U$192="základní",$N$192,0)</f>
        <v>0</v>
      </c>
      <c r="BF192" s="320">
        <f>IF($U$192="snížená",$N$192,0)</f>
        <v>0</v>
      </c>
      <c r="BG192" s="320">
        <f>IF($U$192="zákl. přenesená",$N$192,0)</f>
        <v>0</v>
      </c>
      <c r="BH192" s="320">
        <f>IF($U$192="sníž. přenesená",$N$192,0)</f>
        <v>0</v>
      </c>
      <c r="BI192" s="320">
        <f>IF($U$192="nulová",$N$192,0)</f>
        <v>0</v>
      </c>
      <c r="BJ192" s="240" t="s">
        <v>347</v>
      </c>
      <c r="BK192" s="320">
        <f>ROUND($L$192*$K$192,2)</f>
        <v>0</v>
      </c>
      <c r="BL192" s="240" t="s">
        <v>354</v>
      </c>
    </row>
    <row r="193" spans="2:63" s="303" customFormat="1" ht="30.75" customHeight="1">
      <c r="B193" s="302"/>
      <c r="D193" s="311" t="s">
        <v>322</v>
      </c>
      <c r="N193" s="441">
        <f>$BK$193</f>
        <v>0</v>
      </c>
      <c r="O193" s="440"/>
      <c r="P193" s="440"/>
      <c r="Q193" s="440"/>
      <c r="R193" s="306"/>
      <c r="T193" s="307"/>
      <c r="W193" s="308">
        <f>$W$194+SUM($W$195:$W$197)+$W$201</f>
        <v>350.031781</v>
      </c>
      <c r="Y193" s="308">
        <f>$Y$194+SUM($Y$195:$Y$197)+$Y$201</f>
        <v>0.04875</v>
      </c>
      <c r="AA193" s="309">
        <f>$AA$194+SUM($AA$195:$AA$197)+$AA$201</f>
        <v>28.5656</v>
      </c>
      <c r="AR193" s="305" t="s">
        <v>347</v>
      </c>
      <c r="AT193" s="305" t="s">
        <v>346</v>
      </c>
      <c r="AU193" s="305" t="s">
        <v>347</v>
      </c>
      <c r="AY193" s="305" t="s">
        <v>349</v>
      </c>
      <c r="BK193" s="310">
        <f>$BK$194+SUM($BK$195:$BK$197)+$BK$201</f>
        <v>0</v>
      </c>
    </row>
    <row r="194" spans="2:64" s="240" customFormat="1" ht="27" customHeight="1">
      <c r="B194" s="247"/>
      <c r="C194" s="312" t="s">
        <v>554</v>
      </c>
      <c r="D194" s="312" t="s">
        <v>350</v>
      </c>
      <c r="E194" s="313" t="s">
        <v>555</v>
      </c>
      <c r="F194" s="442" t="s">
        <v>556</v>
      </c>
      <c r="G194" s="443"/>
      <c r="H194" s="443"/>
      <c r="I194" s="443"/>
      <c r="J194" s="314" t="s">
        <v>277</v>
      </c>
      <c r="K194" s="315">
        <v>496.628</v>
      </c>
      <c r="L194" s="444"/>
      <c r="M194" s="443"/>
      <c r="N194" s="444">
        <f>ROUND($L$194*$K$194,2)</f>
        <v>0</v>
      </c>
      <c r="O194" s="443"/>
      <c r="P194" s="443"/>
      <c r="Q194" s="443"/>
      <c r="R194" s="249"/>
      <c r="T194" s="316"/>
      <c r="U194" s="317" t="s">
        <v>298</v>
      </c>
      <c r="V194" s="318">
        <v>0</v>
      </c>
      <c r="W194" s="318">
        <f>$V$194*$K$194</f>
        <v>0</v>
      </c>
      <c r="X194" s="318">
        <v>0</v>
      </c>
      <c r="Y194" s="318">
        <f>$X$194*$K$194</f>
        <v>0</v>
      </c>
      <c r="Z194" s="318">
        <v>0</v>
      </c>
      <c r="AA194" s="319">
        <f>$Z$194*$K$194</f>
        <v>0</v>
      </c>
      <c r="AR194" s="240" t="s">
        <v>354</v>
      </c>
      <c r="AT194" s="240" t="s">
        <v>350</v>
      </c>
      <c r="AU194" s="240" t="s">
        <v>260</v>
      </c>
      <c r="AY194" s="240" t="s">
        <v>349</v>
      </c>
      <c r="BE194" s="320">
        <f>IF($U$194="základní",$N$194,0)</f>
        <v>0</v>
      </c>
      <c r="BF194" s="320">
        <f>IF($U$194="snížená",$N$194,0)</f>
        <v>0</v>
      </c>
      <c r="BG194" s="320">
        <f>IF($U$194="zákl. přenesená",$N$194,0)</f>
        <v>0</v>
      </c>
      <c r="BH194" s="320">
        <f>IF($U$194="sníž. přenesená",$N$194,0)</f>
        <v>0</v>
      </c>
      <c r="BI194" s="320">
        <f>IF($U$194="nulová",$N$194,0)</f>
        <v>0</v>
      </c>
      <c r="BJ194" s="240" t="s">
        <v>347</v>
      </c>
      <c r="BK194" s="320">
        <f>ROUND($L$194*$K$194,2)</f>
        <v>0</v>
      </c>
      <c r="BL194" s="240" t="s">
        <v>354</v>
      </c>
    </row>
    <row r="195" spans="2:64" s="240" customFormat="1" ht="15.75" customHeight="1">
      <c r="B195" s="247"/>
      <c r="C195" s="312" t="s">
        <v>557</v>
      </c>
      <c r="D195" s="312" t="s">
        <v>350</v>
      </c>
      <c r="E195" s="313" t="s">
        <v>558</v>
      </c>
      <c r="F195" s="442" t="s">
        <v>559</v>
      </c>
      <c r="G195" s="443"/>
      <c r="H195" s="443"/>
      <c r="I195" s="443"/>
      <c r="J195" s="314" t="s">
        <v>277</v>
      </c>
      <c r="K195" s="315">
        <v>34.965</v>
      </c>
      <c r="L195" s="444"/>
      <c r="M195" s="443"/>
      <c r="N195" s="444">
        <f>ROUND($L$195*$K$195,2)</f>
        <v>0</v>
      </c>
      <c r="O195" s="443"/>
      <c r="P195" s="443"/>
      <c r="Q195" s="443"/>
      <c r="R195" s="249"/>
      <c r="T195" s="316"/>
      <c r="U195" s="317" t="s">
        <v>298</v>
      </c>
      <c r="V195" s="318">
        <v>0</v>
      </c>
      <c r="W195" s="318">
        <f>$V$195*$K$195</f>
        <v>0</v>
      </c>
      <c r="X195" s="318">
        <v>0</v>
      </c>
      <c r="Y195" s="318">
        <f>$X$195*$K$195</f>
        <v>0</v>
      </c>
      <c r="Z195" s="318">
        <v>0</v>
      </c>
      <c r="AA195" s="319">
        <f>$Z$195*$K$195</f>
        <v>0</v>
      </c>
      <c r="AR195" s="240" t="s">
        <v>354</v>
      </c>
      <c r="AT195" s="240" t="s">
        <v>350</v>
      </c>
      <c r="AU195" s="240" t="s">
        <v>260</v>
      </c>
      <c r="AY195" s="240" t="s">
        <v>349</v>
      </c>
      <c r="BE195" s="320">
        <f>IF($U$195="základní",$N$195,0)</f>
        <v>0</v>
      </c>
      <c r="BF195" s="320">
        <f>IF($U$195="snížená",$N$195,0)</f>
        <v>0</v>
      </c>
      <c r="BG195" s="320">
        <f>IF($U$195="zákl. přenesená",$N$195,0)</f>
        <v>0</v>
      </c>
      <c r="BH195" s="320">
        <f>IF($U$195="sníž. přenesená",$N$195,0)</f>
        <v>0</v>
      </c>
      <c r="BI195" s="320">
        <f>IF($U$195="nulová",$N$195,0)</f>
        <v>0</v>
      </c>
      <c r="BJ195" s="240" t="s">
        <v>347</v>
      </c>
      <c r="BK195" s="320">
        <f>ROUND($L$195*$K$195,2)</f>
        <v>0</v>
      </c>
      <c r="BL195" s="240" t="s">
        <v>354</v>
      </c>
    </row>
    <row r="196" spans="2:64" s="240" customFormat="1" ht="27" customHeight="1">
      <c r="B196" s="247"/>
      <c r="C196" s="312" t="s">
        <v>560</v>
      </c>
      <c r="D196" s="312" t="s">
        <v>350</v>
      </c>
      <c r="E196" s="313" t="s">
        <v>561</v>
      </c>
      <c r="F196" s="442" t="s">
        <v>562</v>
      </c>
      <c r="G196" s="443"/>
      <c r="H196" s="443"/>
      <c r="I196" s="443"/>
      <c r="J196" s="314" t="s">
        <v>450</v>
      </c>
      <c r="K196" s="315">
        <v>13</v>
      </c>
      <c r="L196" s="444"/>
      <c r="M196" s="443"/>
      <c r="N196" s="444">
        <f>ROUND($L$196*$K$196,2)</f>
        <v>0</v>
      </c>
      <c r="O196" s="443"/>
      <c r="P196" s="443"/>
      <c r="Q196" s="443"/>
      <c r="R196" s="249"/>
      <c r="T196" s="316"/>
      <c r="U196" s="317" t="s">
        <v>298</v>
      </c>
      <c r="V196" s="318">
        <v>4.2</v>
      </c>
      <c r="W196" s="318">
        <f>$V$196*$K$196</f>
        <v>54.6</v>
      </c>
      <c r="X196" s="318">
        <v>0.00375</v>
      </c>
      <c r="Y196" s="318">
        <f>$X$196*$K$196</f>
        <v>0.04875</v>
      </c>
      <c r="Z196" s="318">
        <v>0.283</v>
      </c>
      <c r="AA196" s="319">
        <f>$Z$196*$K$196</f>
        <v>3.679</v>
      </c>
      <c r="AR196" s="240" t="s">
        <v>354</v>
      </c>
      <c r="AT196" s="240" t="s">
        <v>350</v>
      </c>
      <c r="AU196" s="240" t="s">
        <v>260</v>
      </c>
      <c r="AY196" s="240" t="s">
        <v>349</v>
      </c>
      <c r="BE196" s="320">
        <f>IF($U$196="základní",$N$196,0)</f>
        <v>0</v>
      </c>
      <c r="BF196" s="320">
        <f>IF($U$196="snížená",$N$196,0)</f>
        <v>0</v>
      </c>
      <c r="BG196" s="320">
        <f>IF($U$196="zákl. přenesená",$N$196,0)</f>
        <v>0</v>
      </c>
      <c r="BH196" s="320">
        <f>IF($U$196="sníž. přenesená",$N$196,0)</f>
        <v>0</v>
      </c>
      <c r="BI196" s="320">
        <f>IF($U$196="nulová",$N$196,0)</f>
        <v>0</v>
      </c>
      <c r="BJ196" s="240" t="s">
        <v>347</v>
      </c>
      <c r="BK196" s="320">
        <f>ROUND($L$196*$K$196,2)</f>
        <v>0</v>
      </c>
      <c r="BL196" s="240" t="s">
        <v>354</v>
      </c>
    </row>
    <row r="197" spans="2:63" s="303" customFormat="1" ht="23.25" customHeight="1">
      <c r="B197" s="302"/>
      <c r="D197" s="311" t="s">
        <v>323</v>
      </c>
      <c r="N197" s="441">
        <f>$BK$197</f>
        <v>0</v>
      </c>
      <c r="O197" s="440"/>
      <c r="P197" s="440"/>
      <c r="Q197" s="440"/>
      <c r="R197" s="306"/>
      <c r="T197" s="307"/>
      <c r="W197" s="308">
        <f>SUM($W$198:$W$200)</f>
        <v>89.854303</v>
      </c>
      <c r="Y197" s="308">
        <f>SUM($Y$198:$Y$200)</f>
        <v>0</v>
      </c>
      <c r="AA197" s="309">
        <f>SUM($AA$198:$AA$200)</f>
        <v>24.8866</v>
      </c>
      <c r="AR197" s="305" t="s">
        <v>347</v>
      </c>
      <c r="AT197" s="305" t="s">
        <v>346</v>
      </c>
      <c r="AU197" s="305" t="s">
        <v>260</v>
      </c>
      <c r="AY197" s="305" t="s">
        <v>349</v>
      </c>
      <c r="BK197" s="310">
        <f>SUM($BK$198:$BK$200)</f>
        <v>0</v>
      </c>
    </row>
    <row r="198" spans="2:64" s="240" customFormat="1" ht="27" customHeight="1">
      <c r="B198" s="247"/>
      <c r="C198" s="312" t="s">
        <v>563</v>
      </c>
      <c r="D198" s="312" t="s">
        <v>350</v>
      </c>
      <c r="E198" s="313" t="s">
        <v>564</v>
      </c>
      <c r="F198" s="442" t="s">
        <v>565</v>
      </c>
      <c r="G198" s="443"/>
      <c r="H198" s="443"/>
      <c r="I198" s="443"/>
      <c r="J198" s="314" t="s">
        <v>229</v>
      </c>
      <c r="K198" s="315">
        <v>23.986</v>
      </c>
      <c r="L198" s="444"/>
      <c r="M198" s="443"/>
      <c r="N198" s="444">
        <f>ROUND($L$198*$K$198,2)</f>
        <v>0</v>
      </c>
      <c r="O198" s="443"/>
      <c r="P198" s="443"/>
      <c r="Q198" s="443"/>
      <c r="R198" s="249"/>
      <c r="T198" s="316"/>
      <c r="U198" s="317" t="s">
        <v>298</v>
      </c>
      <c r="V198" s="318">
        <v>0</v>
      </c>
      <c r="W198" s="318">
        <f>$V$198*$K$198</f>
        <v>0</v>
      </c>
      <c r="X198" s="318">
        <v>0</v>
      </c>
      <c r="Y198" s="318">
        <f>$X$198*$K$198</f>
        <v>0</v>
      </c>
      <c r="Z198" s="318">
        <v>0</v>
      </c>
      <c r="AA198" s="319">
        <f>$Z$198*$K$198</f>
        <v>0</v>
      </c>
      <c r="AR198" s="240" t="s">
        <v>354</v>
      </c>
      <c r="AT198" s="240" t="s">
        <v>350</v>
      </c>
      <c r="AU198" s="240" t="s">
        <v>358</v>
      </c>
      <c r="AY198" s="240" t="s">
        <v>349</v>
      </c>
      <c r="BE198" s="320">
        <f>IF($U$198="základní",$N$198,0)</f>
        <v>0</v>
      </c>
      <c r="BF198" s="320">
        <f>IF($U$198="snížená",$N$198,0)</f>
        <v>0</v>
      </c>
      <c r="BG198" s="320">
        <f>IF($U$198="zákl. přenesená",$N$198,0)</f>
        <v>0</v>
      </c>
      <c r="BH198" s="320">
        <f>IF($U$198="sníž. přenesená",$N$198,0)</f>
        <v>0</v>
      </c>
      <c r="BI198" s="320">
        <f>IF($U$198="nulová",$N$198,0)</f>
        <v>0</v>
      </c>
      <c r="BJ198" s="240" t="s">
        <v>347</v>
      </c>
      <c r="BK198" s="320">
        <f>ROUND($L$198*$K$198,2)</f>
        <v>0</v>
      </c>
      <c r="BL198" s="240" t="s">
        <v>354</v>
      </c>
    </row>
    <row r="199" spans="2:64" s="240" customFormat="1" ht="27" customHeight="1">
      <c r="B199" s="247"/>
      <c r="C199" s="312" t="s">
        <v>566</v>
      </c>
      <c r="D199" s="312" t="s">
        <v>350</v>
      </c>
      <c r="E199" s="313" t="s">
        <v>567</v>
      </c>
      <c r="F199" s="442" t="s">
        <v>568</v>
      </c>
      <c r="G199" s="443"/>
      <c r="H199" s="443"/>
      <c r="I199" s="443"/>
      <c r="J199" s="314" t="s">
        <v>229</v>
      </c>
      <c r="K199" s="315">
        <v>10.903</v>
      </c>
      <c r="L199" s="444"/>
      <c r="M199" s="443"/>
      <c r="N199" s="444">
        <f>ROUND($L$199*$K$199,2)</f>
        <v>0</v>
      </c>
      <c r="O199" s="443"/>
      <c r="P199" s="443"/>
      <c r="Q199" s="443"/>
      <c r="R199" s="249"/>
      <c r="T199" s="316"/>
      <c r="U199" s="317" t="s">
        <v>298</v>
      </c>
      <c r="V199" s="318">
        <v>7.801</v>
      </c>
      <c r="W199" s="318">
        <f>$V$199*$K$199</f>
        <v>85.054303</v>
      </c>
      <c r="X199" s="318">
        <v>0</v>
      </c>
      <c r="Y199" s="318">
        <f>$X$199*$K$199</f>
        <v>0</v>
      </c>
      <c r="Z199" s="318">
        <v>2.2</v>
      </c>
      <c r="AA199" s="319">
        <f>$Z$199*$K$199</f>
        <v>23.986600000000003</v>
      </c>
      <c r="AR199" s="240" t="s">
        <v>354</v>
      </c>
      <c r="AT199" s="240" t="s">
        <v>350</v>
      </c>
      <c r="AU199" s="240" t="s">
        <v>358</v>
      </c>
      <c r="AY199" s="240" t="s">
        <v>349</v>
      </c>
      <c r="BE199" s="320">
        <f>IF($U$199="základní",$N$199,0)</f>
        <v>0</v>
      </c>
      <c r="BF199" s="320">
        <f>IF($U$199="snížená",$N$199,0)</f>
        <v>0</v>
      </c>
      <c r="BG199" s="320">
        <f>IF($U$199="zákl. přenesená",$N$199,0)</f>
        <v>0</v>
      </c>
      <c r="BH199" s="320">
        <f>IF($U$199="sníž. přenesená",$N$199,0)</f>
        <v>0</v>
      </c>
      <c r="BI199" s="320">
        <f>IF($U$199="nulová",$N$199,0)</f>
        <v>0</v>
      </c>
      <c r="BJ199" s="240" t="s">
        <v>347</v>
      </c>
      <c r="BK199" s="320">
        <f>ROUND($L$199*$K$199,2)</f>
        <v>0</v>
      </c>
      <c r="BL199" s="240" t="s">
        <v>354</v>
      </c>
    </row>
    <row r="200" spans="2:64" s="240" customFormat="1" ht="27" customHeight="1">
      <c r="B200" s="247"/>
      <c r="C200" s="312" t="s">
        <v>569</v>
      </c>
      <c r="D200" s="312" t="s">
        <v>350</v>
      </c>
      <c r="E200" s="313" t="s">
        <v>570</v>
      </c>
      <c r="F200" s="442" t="s">
        <v>571</v>
      </c>
      <c r="G200" s="443"/>
      <c r="H200" s="443"/>
      <c r="I200" s="443"/>
      <c r="J200" s="314" t="s">
        <v>450</v>
      </c>
      <c r="K200" s="315">
        <v>6</v>
      </c>
      <c r="L200" s="444"/>
      <c r="M200" s="443"/>
      <c r="N200" s="444">
        <f>ROUND($L$200*$K$200,2)</f>
        <v>0</v>
      </c>
      <c r="O200" s="443"/>
      <c r="P200" s="443"/>
      <c r="Q200" s="443"/>
      <c r="R200" s="249"/>
      <c r="T200" s="316"/>
      <c r="U200" s="317" t="s">
        <v>298</v>
      </c>
      <c r="V200" s="318">
        <v>0.8</v>
      </c>
      <c r="W200" s="318">
        <f>$V$200*$K$200</f>
        <v>4.800000000000001</v>
      </c>
      <c r="X200" s="318">
        <v>0</v>
      </c>
      <c r="Y200" s="318">
        <f>$X$200*$K$200</f>
        <v>0</v>
      </c>
      <c r="Z200" s="318">
        <v>0.15</v>
      </c>
      <c r="AA200" s="319">
        <f>$Z$200*$K$200</f>
        <v>0.8999999999999999</v>
      </c>
      <c r="AR200" s="240" t="s">
        <v>354</v>
      </c>
      <c r="AT200" s="240" t="s">
        <v>350</v>
      </c>
      <c r="AU200" s="240" t="s">
        <v>358</v>
      </c>
      <c r="AY200" s="240" t="s">
        <v>349</v>
      </c>
      <c r="BE200" s="320">
        <f>IF($U$200="základní",$N$200,0)</f>
        <v>0</v>
      </c>
      <c r="BF200" s="320">
        <f>IF($U$200="snížená",$N$200,0)</f>
        <v>0</v>
      </c>
      <c r="BG200" s="320">
        <f>IF($U$200="zákl. přenesená",$N$200,0)</f>
        <v>0</v>
      </c>
      <c r="BH200" s="320">
        <f>IF($U$200="sníž. přenesená",$N$200,0)</f>
        <v>0</v>
      </c>
      <c r="BI200" s="320">
        <f>IF($U$200="nulová",$N$200,0)</f>
        <v>0</v>
      </c>
      <c r="BJ200" s="240" t="s">
        <v>347</v>
      </c>
      <c r="BK200" s="320">
        <f>ROUND($L$200*$K$200,2)</f>
        <v>0</v>
      </c>
      <c r="BL200" s="240" t="s">
        <v>354</v>
      </c>
    </row>
    <row r="201" spans="2:63" s="303" customFormat="1" ht="23.25" customHeight="1">
      <c r="B201" s="302"/>
      <c r="D201" s="311" t="s">
        <v>324</v>
      </c>
      <c r="N201" s="441">
        <f>$BK$201</f>
        <v>0</v>
      </c>
      <c r="O201" s="440"/>
      <c r="P201" s="440"/>
      <c r="Q201" s="440"/>
      <c r="R201" s="306"/>
      <c r="T201" s="307"/>
      <c r="W201" s="308">
        <f>SUM($W$202:$W$204)</f>
        <v>205.57747799999999</v>
      </c>
      <c r="Y201" s="308">
        <f>SUM($Y$202:$Y$204)</f>
        <v>0</v>
      </c>
      <c r="AA201" s="309">
        <f>SUM($AA$202:$AA$204)</f>
        <v>0</v>
      </c>
      <c r="AR201" s="305" t="s">
        <v>347</v>
      </c>
      <c r="AT201" s="305" t="s">
        <v>346</v>
      </c>
      <c r="AU201" s="305" t="s">
        <v>260</v>
      </c>
      <c r="AY201" s="305" t="s">
        <v>349</v>
      </c>
      <c r="BK201" s="310">
        <f>SUM($BK$202:$BK$204)</f>
        <v>0</v>
      </c>
    </row>
    <row r="202" spans="2:64" s="240" customFormat="1" ht="39" customHeight="1">
      <c r="B202" s="247"/>
      <c r="C202" s="312" t="s">
        <v>572</v>
      </c>
      <c r="D202" s="312" t="s">
        <v>350</v>
      </c>
      <c r="E202" s="313" t="s">
        <v>573</v>
      </c>
      <c r="F202" s="442" t="s">
        <v>574</v>
      </c>
      <c r="G202" s="443"/>
      <c r="H202" s="443"/>
      <c r="I202" s="443"/>
      <c r="J202" s="314" t="s">
        <v>277</v>
      </c>
      <c r="K202" s="315">
        <v>114.125</v>
      </c>
      <c r="L202" s="444"/>
      <c r="M202" s="443"/>
      <c r="N202" s="444">
        <f>ROUND($L$202*$K$202,2)</f>
        <v>0</v>
      </c>
      <c r="O202" s="443"/>
      <c r="P202" s="443"/>
      <c r="Q202" s="443"/>
      <c r="R202" s="249"/>
      <c r="T202" s="316"/>
      <c r="U202" s="317" t="s">
        <v>298</v>
      </c>
      <c r="V202" s="318">
        <v>0.08</v>
      </c>
      <c r="W202" s="318">
        <f>$V$202*$K$202</f>
        <v>9.13</v>
      </c>
      <c r="X202" s="318">
        <v>0</v>
      </c>
      <c r="Y202" s="318">
        <f>$X$202*$K$202</f>
        <v>0</v>
      </c>
      <c r="Z202" s="318">
        <v>0</v>
      </c>
      <c r="AA202" s="319">
        <f>$Z$202*$K$202</f>
        <v>0</v>
      </c>
      <c r="AR202" s="240" t="s">
        <v>354</v>
      </c>
      <c r="AT202" s="240" t="s">
        <v>350</v>
      </c>
      <c r="AU202" s="240" t="s">
        <v>358</v>
      </c>
      <c r="AY202" s="240" t="s">
        <v>349</v>
      </c>
      <c r="BE202" s="320">
        <f>IF($U$202="základní",$N$202,0)</f>
        <v>0</v>
      </c>
      <c r="BF202" s="320">
        <f>IF($U$202="snížená",$N$202,0)</f>
        <v>0</v>
      </c>
      <c r="BG202" s="320">
        <f>IF($U$202="zákl. přenesená",$N$202,0)</f>
        <v>0</v>
      </c>
      <c r="BH202" s="320">
        <f>IF($U$202="sníž. přenesená",$N$202,0)</f>
        <v>0</v>
      </c>
      <c r="BI202" s="320">
        <f>IF($U$202="nulová",$N$202,0)</f>
        <v>0</v>
      </c>
      <c r="BJ202" s="240" t="s">
        <v>347</v>
      </c>
      <c r="BK202" s="320">
        <f>ROUND($L$202*$K$202,2)</f>
        <v>0</v>
      </c>
      <c r="BL202" s="240" t="s">
        <v>354</v>
      </c>
    </row>
    <row r="203" spans="2:64" s="240" customFormat="1" ht="27" customHeight="1">
      <c r="B203" s="247"/>
      <c r="C203" s="312" t="s">
        <v>575</v>
      </c>
      <c r="D203" s="312" t="s">
        <v>350</v>
      </c>
      <c r="E203" s="313" t="s">
        <v>576</v>
      </c>
      <c r="F203" s="442" t="s">
        <v>577</v>
      </c>
      <c r="G203" s="443"/>
      <c r="H203" s="443"/>
      <c r="I203" s="443"/>
      <c r="J203" s="314" t="s">
        <v>277</v>
      </c>
      <c r="K203" s="315">
        <v>1027.125</v>
      </c>
      <c r="L203" s="444"/>
      <c r="M203" s="443"/>
      <c r="N203" s="444">
        <f>ROUND($L$203*$K$203,2)</f>
        <v>0</v>
      </c>
      <c r="O203" s="443"/>
      <c r="P203" s="443"/>
      <c r="Q203" s="443"/>
      <c r="R203" s="249"/>
      <c r="T203" s="316"/>
      <c r="U203" s="317" t="s">
        <v>298</v>
      </c>
      <c r="V203" s="318">
        <v>0.014</v>
      </c>
      <c r="W203" s="318">
        <f>$V$203*$K$203</f>
        <v>14.37975</v>
      </c>
      <c r="X203" s="318">
        <v>0</v>
      </c>
      <c r="Y203" s="318">
        <f>$X$203*$K$203</f>
        <v>0</v>
      </c>
      <c r="Z203" s="318">
        <v>0</v>
      </c>
      <c r="AA203" s="319">
        <f>$Z$203*$K$203</f>
        <v>0</v>
      </c>
      <c r="AR203" s="240" t="s">
        <v>354</v>
      </c>
      <c r="AT203" s="240" t="s">
        <v>350</v>
      </c>
      <c r="AU203" s="240" t="s">
        <v>358</v>
      </c>
      <c r="AY203" s="240" t="s">
        <v>349</v>
      </c>
      <c r="BE203" s="320">
        <f>IF($U$203="základní",$N$203,0)</f>
        <v>0</v>
      </c>
      <c r="BF203" s="320">
        <f>IF($U$203="snížená",$N$203,0)</f>
        <v>0</v>
      </c>
      <c r="BG203" s="320">
        <f>IF($U$203="zákl. přenesená",$N$203,0)</f>
        <v>0</v>
      </c>
      <c r="BH203" s="320">
        <f>IF($U$203="sníž. přenesená",$N$203,0)</f>
        <v>0</v>
      </c>
      <c r="BI203" s="320">
        <f>IF($U$203="nulová",$N$203,0)</f>
        <v>0</v>
      </c>
      <c r="BJ203" s="240" t="s">
        <v>347</v>
      </c>
      <c r="BK203" s="320">
        <f>ROUND($L$203*$K$203,2)</f>
        <v>0</v>
      </c>
      <c r="BL203" s="240" t="s">
        <v>354</v>
      </c>
    </row>
    <row r="204" spans="2:64" s="240" customFormat="1" ht="27" customHeight="1">
      <c r="B204" s="247"/>
      <c r="C204" s="312" t="s">
        <v>578</v>
      </c>
      <c r="D204" s="312" t="s">
        <v>350</v>
      </c>
      <c r="E204" s="313" t="s">
        <v>579</v>
      </c>
      <c r="F204" s="442" t="s">
        <v>580</v>
      </c>
      <c r="G204" s="443"/>
      <c r="H204" s="443"/>
      <c r="I204" s="443"/>
      <c r="J204" s="314" t="s">
        <v>277</v>
      </c>
      <c r="K204" s="315">
        <v>239.248</v>
      </c>
      <c r="L204" s="444"/>
      <c r="M204" s="443"/>
      <c r="N204" s="444">
        <f>ROUND($L$204*$K$204,2)</f>
        <v>0</v>
      </c>
      <c r="O204" s="443"/>
      <c r="P204" s="443"/>
      <c r="Q204" s="443"/>
      <c r="R204" s="249"/>
      <c r="T204" s="316"/>
      <c r="U204" s="317" t="s">
        <v>298</v>
      </c>
      <c r="V204" s="318">
        <v>0.761</v>
      </c>
      <c r="W204" s="318">
        <f>$V$204*$K$204</f>
        <v>182.067728</v>
      </c>
      <c r="X204" s="318">
        <v>0</v>
      </c>
      <c r="Y204" s="318">
        <f>$X$204*$K$204</f>
        <v>0</v>
      </c>
      <c r="Z204" s="318">
        <v>0</v>
      </c>
      <c r="AA204" s="319">
        <f>$Z$204*$K$204</f>
        <v>0</v>
      </c>
      <c r="AR204" s="240" t="s">
        <v>354</v>
      </c>
      <c r="AT204" s="240" t="s">
        <v>350</v>
      </c>
      <c r="AU204" s="240" t="s">
        <v>358</v>
      </c>
      <c r="AY204" s="240" t="s">
        <v>349</v>
      </c>
      <c r="BE204" s="320">
        <f>IF($U$204="základní",$N$204,0)</f>
        <v>0</v>
      </c>
      <c r="BF204" s="320">
        <f>IF($U$204="snížená",$N$204,0)</f>
        <v>0</v>
      </c>
      <c r="BG204" s="320">
        <f>IF($U$204="zákl. přenesená",$N$204,0)</f>
        <v>0</v>
      </c>
      <c r="BH204" s="320">
        <f>IF($U$204="sníž. přenesená",$N$204,0)</f>
        <v>0</v>
      </c>
      <c r="BI204" s="320">
        <f>IF($U$204="nulová",$N$204,0)</f>
        <v>0</v>
      </c>
      <c r="BJ204" s="240" t="s">
        <v>347</v>
      </c>
      <c r="BK204" s="320">
        <f>ROUND($L$204*$K$204,2)</f>
        <v>0</v>
      </c>
      <c r="BL204" s="240" t="s">
        <v>354</v>
      </c>
    </row>
    <row r="205" spans="2:63" s="303" customFormat="1" ht="37.5" customHeight="1">
      <c r="B205" s="302"/>
      <c r="D205" s="304" t="s">
        <v>325</v>
      </c>
      <c r="N205" s="439">
        <f>$BK$205</f>
        <v>0</v>
      </c>
      <c r="O205" s="440"/>
      <c r="P205" s="440"/>
      <c r="Q205" s="440"/>
      <c r="R205" s="306"/>
      <c r="T205" s="307"/>
      <c r="W205" s="308">
        <f>$W$206</f>
        <v>293.38225</v>
      </c>
      <c r="Y205" s="308">
        <f>$Y$206</f>
        <v>0</v>
      </c>
      <c r="AA205" s="309">
        <f>$AA$206</f>
        <v>0</v>
      </c>
      <c r="AR205" s="305" t="s">
        <v>358</v>
      </c>
      <c r="AT205" s="305" t="s">
        <v>346</v>
      </c>
      <c r="AU205" s="305" t="s">
        <v>348</v>
      </c>
      <c r="AY205" s="305" t="s">
        <v>349</v>
      </c>
      <c r="BK205" s="310">
        <f>$BK$206</f>
        <v>0</v>
      </c>
    </row>
    <row r="206" spans="2:63" s="303" customFormat="1" ht="21" customHeight="1">
      <c r="B206" s="302"/>
      <c r="D206" s="311" t="s">
        <v>326</v>
      </c>
      <c r="N206" s="441">
        <f>$BK$206</f>
        <v>0</v>
      </c>
      <c r="O206" s="440"/>
      <c r="P206" s="440"/>
      <c r="Q206" s="440"/>
      <c r="R206" s="306"/>
      <c r="T206" s="307"/>
      <c r="W206" s="308">
        <f>SUM($W$207:$W$209)</f>
        <v>293.38225</v>
      </c>
      <c r="Y206" s="308">
        <f>SUM($Y$207:$Y$209)</f>
        <v>0</v>
      </c>
      <c r="AA206" s="309">
        <f>SUM($AA$207:$AA$209)</f>
        <v>0</v>
      </c>
      <c r="AR206" s="305" t="s">
        <v>358</v>
      </c>
      <c r="AT206" s="305" t="s">
        <v>346</v>
      </c>
      <c r="AU206" s="305" t="s">
        <v>347</v>
      </c>
      <c r="AY206" s="305" t="s">
        <v>349</v>
      </c>
      <c r="BK206" s="310">
        <f>SUM($BK$207:$BK$209)</f>
        <v>0</v>
      </c>
    </row>
    <row r="207" spans="2:64" s="240" customFormat="1" ht="27" customHeight="1">
      <c r="B207" s="247"/>
      <c r="C207" s="312" t="s">
        <v>581</v>
      </c>
      <c r="D207" s="312" t="s">
        <v>350</v>
      </c>
      <c r="E207" s="313" t="s">
        <v>582</v>
      </c>
      <c r="F207" s="442" t="s">
        <v>583</v>
      </c>
      <c r="G207" s="443"/>
      <c r="H207" s="443"/>
      <c r="I207" s="443"/>
      <c r="J207" s="314" t="s">
        <v>140</v>
      </c>
      <c r="K207" s="315">
        <v>194.25</v>
      </c>
      <c r="L207" s="444"/>
      <c r="M207" s="443"/>
      <c r="N207" s="444">
        <f>ROUND($L$207*$K$207,2)</f>
        <v>0</v>
      </c>
      <c r="O207" s="443"/>
      <c r="P207" s="443"/>
      <c r="Q207" s="443"/>
      <c r="R207" s="249"/>
      <c r="T207" s="316"/>
      <c r="U207" s="317" t="s">
        <v>298</v>
      </c>
      <c r="V207" s="318">
        <v>0.66</v>
      </c>
      <c r="W207" s="318">
        <f>$V$207*$K$207</f>
        <v>128.205</v>
      </c>
      <c r="X207" s="318">
        <v>0</v>
      </c>
      <c r="Y207" s="318">
        <f>$X$207*$K$207</f>
        <v>0</v>
      </c>
      <c r="Z207" s="318">
        <v>0</v>
      </c>
      <c r="AA207" s="319">
        <f>$Z$207*$K$207</f>
        <v>0</v>
      </c>
      <c r="AR207" s="240" t="s">
        <v>484</v>
      </c>
      <c r="AT207" s="240" t="s">
        <v>350</v>
      </c>
      <c r="AU207" s="240" t="s">
        <v>260</v>
      </c>
      <c r="AY207" s="240" t="s">
        <v>349</v>
      </c>
      <c r="BE207" s="320">
        <f>IF($U$207="základní",$N$207,0)</f>
        <v>0</v>
      </c>
      <c r="BF207" s="320">
        <f>IF($U$207="snížená",$N$207,0)</f>
        <v>0</v>
      </c>
      <c r="BG207" s="320">
        <f>IF($U$207="zákl. přenesená",$N$207,0)</f>
        <v>0</v>
      </c>
      <c r="BH207" s="320">
        <f>IF($U$207="sníž. přenesená",$N$207,0)</f>
        <v>0</v>
      </c>
      <c r="BI207" s="320">
        <f>IF($U$207="nulová",$N$207,0)</f>
        <v>0</v>
      </c>
      <c r="BJ207" s="240" t="s">
        <v>347</v>
      </c>
      <c r="BK207" s="320">
        <f>ROUND($L$207*$K$207,2)</f>
        <v>0</v>
      </c>
      <c r="BL207" s="240" t="s">
        <v>484</v>
      </c>
    </row>
    <row r="208" spans="2:64" s="240" customFormat="1" ht="27" customHeight="1">
      <c r="B208" s="247"/>
      <c r="C208" s="312" t="s">
        <v>584</v>
      </c>
      <c r="D208" s="312" t="s">
        <v>350</v>
      </c>
      <c r="E208" s="313" t="s">
        <v>585</v>
      </c>
      <c r="F208" s="442" t="s">
        <v>586</v>
      </c>
      <c r="G208" s="443"/>
      <c r="H208" s="443"/>
      <c r="I208" s="443"/>
      <c r="J208" s="314" t="s">
        <v>140</v>
      </c>
      <c r="K208" s="315">
        <v>194.25</v>
      </c>
      <c r="L208" s="444"/>
      <c r="M208" s="443"/>
      <c r="N208" s="444">
        <f>ROUND($L$208*$K$208,2)</f>
        <v>0</v>
      </c>
      <c r="O208" s="443"/>
      <c r="P208" s="443"/>
      <c r="Q208" s="443"/>
      <c r="R208" s="249"/>
      <c r="T208" s="316"/>
      <c r="U208" s="317" t="s">
        <v>298</v>
      </c>
      <c r="V208" s="318">
        <v>0.625</v>
      </c>
      <c r="W208" s="318">
        <f>$V$208*$K$208</f>
        <v>121.40625</v>
      </c>
      <c r="X208" s="318">
        <v>0</v>
      </c>
      <c r="Y208" s="318">
        <f>$X$208*$K$208</f>
        <v>0</v>
      </c>
      <c r="Z208" s="318">
        <v>0</v>
      </c>
      <c r="AA208" s="319">
        <f>$Z$208*$K$208</f>
        <v>0</v>
      </c>
      <c r="AR208" s="240" t="s">
        <v>484</v>
      </c>
      <c r="AT208" s="240" t="s">
        <v>350</v>
      </c>
      <c r="AU208" s="240" t="s">
        <v>260</v>
      </c>
      <c r="AY208" s="240" t="s">
        <v>349</v>
      </c>
      <c r="BE208" s="320">
        <f>IF($U$208="základní",$N$208,0)</f>
        <v>0</v>
      </c>
      <c r="BF208" s="320">
        <f>IF($U$208="snížená",$N$208,0)</f>
        <v>0</v>
      </c>
      <c r="BG208" s="320">
        <f>IF($U$208="zákl. přenesená",$N$208,0)</f>
        <v>0</v>
      </c>
      <c r="BH208" s="320">
        <f>IF($U$208="sníž. přenesená",$N$208,0)</f>
        <v>0</v>
      </c>
      <c r="BI208" s="320">
        <f>IF($U$208="nulová",$N$208,0)</f>
        <v>0</v>
      </c>
      <c r="BJ208" s="240" t="s">
        <v>347</v>
      </c>
      <c r="BK208" s="320">
        <f>ROUND($L$208*$K$208,2)</f>
        <v>0</v>
      </c>
      <c r="BL208" s="240" t="s">
        <v>484</v>
      </c>
    </row>
    <row r="209" spans="2:64" s="240" customFormat="1" ht="27" customHeight="1">
      <c r="B209" s="247"/>
      <c r="C209" s="312" t="s">
        <v>587</v>
      </c>
      <c r="D209" s="312" t="s">
        <v>350</v>
      </c>
      <c r="E209" s="313" t="s">
        <v>588</v>
      </c>
      <c r="F209" s="442" t="s">
        <v>589</v>
      </c>
      <c r="G209" s="443"/>
      <c r="H209" s="443"/>
      <c r="I209" s="443"/>
      <c r="J209" s="314" t="s">
        <v>141</v>
      </c>
      <c r="K209" s="315">
        <v>259</v>
      </c>
      <c r="L209" s="444"/>
      <c r="M209" s="443"/>
      <c r="N209" s="444">
        <f>ROUND($L$209*$K$209,2)</f>
        <v>0</v>
      </c>
      <c r="O209" s="443"/>
      <c r="P209" s="443"/>
      <c r="Q209" s="443"/>
      <c r="R209" s="249"/>
      <c r="T209" s="316"/>
      <c r="U209" s="317" t="s">
        <v>298</v>
      </c>
      <c r="V209" s="318">
        <v>0.169</v>
      </c>
      <c r="W209" s="318">
        <f>$V$209*$K$209</f>
        <v>43.771</v>
      </c>
      <c r="X209" s="318">
        <v>0</v>
      </c>
      <c r="Y209" s="318">
        <f>$X$209*$K$209</f>
        <v>0</v>
      </c>
      <c r="Z209" s="318">
        <v>0</v>
      </c>
      <c r="AA209" s="319">
        <f>$Z$209*$K$209</f>
        <v>0</v>
      </c>
      <c r="AR209" s="240" t="s">
        <v>484</v>
      </c>
      <c r="AT209" s="240" t="s">
        <v>350</v>
      </c>
      <c r="AU209" s="240" t="s">
        <v>260</v>
      </c>
      <c r="AY209" s="240" t="s">
        <v>349</v>
      </c>
      <c r="BE209" s="320">
        <f>IF($U$209="základní",$N$209,0)</f>
        <v>0</v>
      </c>
      <c r="BF209" s="320">
        <f>IF($U$209="snížená",$N$209,0)</f>
        <v>0</v>
      </c>
      <c r="BG209" s="320">
        <f>IF($U$209="zákl. přenesená",$N$209,0)</f>
        <v>0</v>
      </c>
      <c r="BH209" s="320">
        <f>IF($U$209="sníž. přenesená",$N$209,0)</f>
        <v>0</v>
      </c>
      <c r="BI209" s="320">
        <f>IF($U$209="nulová",$N$209,0)</f>
        <v>0</v>
      </c>
      <c r="BJ209" s="240" t="s">
        <v>347</v>
      </c>
      <c r="BK209" s="320">
        <f>ROUND($L$209*$K$209,2)</f>
        <v>0</v>
      </c>
      <c r="BL209" s="240" t="s">
        <v>484</v>
      </c>
    </row>
    <row r="210" spans="2:63" s="303" customFormat="1" ht="37.5" customHeight="1">
      <c r="B210" s="302"/>
      <c r="D210" s="304" t="s">
        <v>327</v>
      </c>
      <c r="N210" s="439">
        <f>$BK$210</f>
        <v>0</v>
      </c>
      <c r="O210" s="440"/>
      <c r="P210" s="440"/>
      <c r="Q210" s="440"/>
      <c r="R210" s="306"/>
      <c r="T210" s="307"/>
      <c r="W210" s="308">
        <f>$W$211+$W$216</f>
        <v>0</v>
      </c>
      <c r="Y210" s="308">
        <f>$Y$211+$Y$216</f>
        <v>0</v>
      </c>
      <c r="AA210" s="309">
        <f>$AA$211+$AA$216</f>
        <v>0</v>
      </c>
      <c r="AR210" s="305" t="s">
        <v>590</v>
      </c>
      <c r="AT210" s="305" t="s">
        <v>346</v>
      </c>
      <c r="AU210" s="305" t="s">
        <v>348</v>
      </c>
      <c r="AY210" s="305" t="s">
        <v>349</v>
      </c>
      <c r="BK210" s="310">
        <f>$BK$211+$BK$216</f>
        <v>0</v>
      </c>
    </row>
    <row r="211" spans="2:63" s="303" customFormat="1" ht="21" customHeight="1">
      <c r="B211" s="302"/>
      <c r="D211" s="311" t="s">
        <v>328</v>
      </c>
      <c r="N211" s="441">
        <f>$BK$211</f>
        <v>0</v>
      </c>
      <c r="O211" s="440"/>
      <c r="P211" s="440"/>
      <c r="Q211" s="440"/>
      <c r="R211" s="306"/>
      <c r="T211" s="307"/>
      <c r="W211" s="308">
        <f>SUM($W$212:$W$215)</f>
        <v>0</v>
      </c>
      <c r="Y211" s="308">
        <f>SUM($Y$212:$Y$215)</f>
        <v>0</v>
      </c>
      <c r="AA211" s="309">
        <f>SUM($AA$212:$AA$215)</f>
        <v>0</v>
      </c>
      <c r="AR211" s="305" t="s">
        <v>590</v>
      </c>
      <c r="AT211" s="305" t="s">
        <v>346</v>
      </c>
      <c r="AU211" s="305" t="s">
        <v>347</v>
      </c>
      <c r="AY211" s="305" t="s">
        <v>349</v>
      </c>
      <c r="BK211" s="310">
        <f>SUM($BK$212:$BK$215)</f>
        <v>0</v>
      </c>
    </row>
    <row r="212" spans="2:64" s="240" customFormat="1" ht="15.75" customHeight="1">
      <c r="B212" s="247"/>
      <c r="C212" s="312" t="s">
        <v>591</v>
      </c>
      <c r="D212" s="312" t="s">
        <v>350</v>
      </c>
      <c r="E212" s="313" t="s">
        <v>592</v>
      </c>
      <c r="F212" s="442" t="s">
        <v>593</v>
      </c>
      <c r="G212" s="443"/>
      <c r="H212" s="443"/>
      <c r="I212" s="443"/>
      <c r="J212" s="314" t="s">
        <v>594</v>
      </c>
      <c r="K212" s="315">
        <v>1</v>
      </c>
      <c r="L212" s="444"/>
      <c r="M212" s="443"/>
      <c r="N212" s="444">
        <f>ROUND($L$212*$K$212,2)</f>
        <v>0</v>
      </c>
      <c r="O212" s="443"/>
      <c r="P212" s="443"/>
      <c r="Q212" s="443"/>
      <c r="R212" s="249"/>
      <c r="T212" s="316"/>
      <c r="U212" s="317" t="s">
        <v>298</v>
      </c>
      <c r="V212" s="318">
        <v>0</v>
      </c>
      <c r="W212" s="318">
        <f>$V$212*$K$212</f>
        <v>0</v>
      </c>
      <c r="X212" s="318">
        <v>0</v>
      </c>
      <c r="Y212" s="318">
        <f>$X$212*$K$212</f>
        <v>0</v>
      </c>
      <c r="Z212" s="318">
        <v>0</v>
      </c>
      <c r="AA212" s="319">
        <f>$Z$212*$K$212</f>
        <v>0</v>
      </c>
      <c r="AR212" s="240" t="s">
        <v>595</v>
      </c>
      <c r="AT212" s="240" t="s">
        <v>350</v>
      </c>
      <c r="AU212" s="240" t="s">
        <v>260</v>
      </c>
      <c r="AY212" s="240" t="s">
        <v>349</v>
      </c>
      <c r="BE212" s="320">
        <f>IF($U$212="základní",$N$212,0)</f>
        <v>0</v>
      </c>
      <c r="BF212" s="320">
        <f>IF($U$212="snížená",$N$212,0)</f>
        <v>0</v>
      </c>
      <c r="BG212" s="320">
        <f>IF($U$212="zákl. přenesená",$N$212,0)</f>
        <v>0</v>
      </c>
      <c r="BH212" s="320">
        <f>IF($U$212="sníž. přenesená",$N$212,0)</f>
        <v>0</v>
      </c>
      <c r="BI212" s="320">
        <f>IF($U$212="nulová",$N$212,0)</f>
        <v>0</v>
      </c>
      <c r="BJ212" s="240" t="s">
        <v>347</v>
      </c>
      <c r="BK212" s="320">
        <f>ROUND($L$212*$K$212,2)</f>
        <v>0</v>
      </c>
      <c r="BL212" s="240" t="s">
        <v>595</v>
      </c>
    </row>
    <row r="213" spans="2:64" s="240" customFormat="1" ht="15.75" customHeight="1">
      <c r="B213" s="247"/>
      <c r="C213" s="312" t="s">
        <v>596</v>
      </c>
      <c r="D213" s="312" t="s">
        <v>350</v>
      </c>
      <c r="E213" s="313" t="s">
        <v>597</v>
      </c>
      <c r="F213" s="442" t="s">
        <v>598</v>
      </c>
      <c r="G213" s="443"/>
      <c r="H213" s="443"/>
      <c r="I213" s="443"/>
      <c r="J213" s="314" t="s">
        <v>151</v>
      </c>
      <c r="K213" s="315">
        <v>1</v>
      </c>
      <c r="L213" s="444"/>
      <c r="M213" s="443"/>
      <c r="N213" s="444">
        <f>ROUND($L$213*$K$213,2)</f>
        <v>0</v>
      </c>
      <c r="O213" s="443"/>
      <c r="P213" s="443"/>
      <c r="Q213" s="443"/>
      <c r="R213" s="249"/>
      <c r="T213" s="316"/>
      <c r="U213" s="317" t="s">
        <v>298</v>
      </c>
      <c r="V213" s="318">
        <v>0</v>
      </c>
      <c r="W213" s="318">
        <f>$V$213*$K$213</f>
        <v>0</v>
      </c>
      <c r="X213" s="318">
        <v>0</v>
      </c>
      <c r="Y213" s="318">
        <f>$X$213*$K$213</f>
        <v>0</v>
      </c>
      <c r="Z213" s="318">
        <v>0</v>
      </c>
      <c r="AA213" s="319">
        <f>$Z$213*$K$213</f>
        <v>0</v>
      </c>
      <c r="AR213" s="240" t="s">
        <v>595</v>
      </c>
      <c r="AT213" s="240" t="s">
        <v>350</v>
      </c>
      <c r="AU213" s="240" t="s">
        <v>260</v>
      </c>
      <c r="AY213" s="240" t="s">
        <v>349</v>
      </c>
      <c r="BE213" s="320">
        <f>IF($U$213="základní",$N$213,0)</f>
        <v>0</v>
      </c>
      <c r="BF213" s="320">
        <f>IF($U$213="snížená",$N$213,0)</f>
        <v>0</v>
      </c>
      <c r="BG213" s="320">
        <f>IF($U$213="zákl. přenesená",$N$213,0)</f>
        <v>0</v>
      </c>
      <c r="BH213" s="320">
        <f>IF($U$213="sníž. přenesená",$N$213,0)</f>
        <v>0</v>
      </c>
      <c r="BI213" s="320">
        <f>IF($U$213="nulová",$N$213,0)</f>
        <v>0</v>
      </c>
      <c r="BJ213" s="240" t="s">
        <v>347</v>
      </c>
      <c r="BK213" s="320">
        <f>ROUND($L$213*$K$213,2)</f>
        <v>0</v>
      </c>
      <c r="BL213" s="240" t="s">
        <v>595</v>
      </c>
    </row>
    <row r="214" spans="2:64" s="240" customFormat="1" ht="15.75" customHeight="1">
      <c r="B214" s="247"/>
      <c r="C214" s="312" t="s">
        <v>599</v>
      </c>
      <c r="D214" s="312" t="s">
        <v>350</v>
      </c>
      <c r="E214" s="313" t="s">
        <v>164</v>
      </c>
      <c r="F214" s="442" t="s">
        <v>165</v>
      </c>
      <c r="G214" s="443"/>
      <c r="H214" s="443"/>
      <c r="I214" s="443"/>
      <c r="J214" s="314" t="s">
        <v>151</v>
      </c>
      <c r="K214" s="315">
        <v>1</v>
      </c>
      <c r="L214" s="444"/>
      <c r="M214" s="443"/>
      <c r="N214" s="444">
        <f>ROUND($L$214*$K$214,2)</f>
        <v>0</v>
      </c>
      <c r="O214" s="443"/>
      <c r="P214" s="443"/>
      <c r="Q214" s="443"/>
      <c r="R214" s="249"/>
      <c r="T214" s="316"/>
      <c r="U214" s="317" t="s">
        <v>298</v>
      </c>
      <c r="V214" s="318">
        <v>0</v>
      </c>
      <c r="W214" s="318">
        <f>$V$214*$K$214</f>
        <v>0</v>
      </c>
      <c r="X214" s="318">
        <v>0</v>
      </c>
      <c r="Y214" s="318">
        <f>$X$214*$K$214</f>
        <v>0</v>
      </c>
      <c r="Z214" s="318">
        <v>0</v>
      </c>
      <c r="AA214" s="319">
        <f>$Z$214*$K$214</f>
        <v>0</v>
      </c>
      <c r="AR214" s="240" t="s">
        <v>595</v>
      </c>
      <c r="AT214" s="240" t="s">
        <v>350</v>
      </c>
      <c r="AU214" s="240" t="s">
        <v>260</v>
      </c>
      <c r="AY214" s="240" t="s">
        <v>349</v>
      </c>
      <c r="BE214" s="320">
        <f>IF($U$214="základní",$N$214,0)</f>
        <v>0</v>
      </c>
      <c r="BF214" s="320">
        <f>IF($U$214="snížená",$N$214,0)</f>
        <v>0</v>
      </c>
      <c r="BG214" s="320">
        <f>IF($U$214="zákl. přenesená",$N$214,0)</f>
        <v>0</v>
      </c>
      <c r="BH214" s="320">
        <f>IF($U$214="sníž. přenesená",$N$214,0)</f>
        <v>0</v>
      </c>
      <c r="BI214" s="320">
        <f>IF($U$214="nulová",$N$214,0)</f>
        <v>0</v>
      </c>
      <c r="BJ214" s="240" t="s">
        <v>347</v>
      </c>
      <c r="BK214" s="320">
        <f>ROUND($L$214*$K$214,2)</f>
        <v>0</v>
      </c>
      <c r="BL214" s="240" t="s">
        <v>595</v>
      </c>
    </row>
    <row r="215" spans="2:64" s="240" customFormat="1" ht="15.75" customHeight="1">
      <c r="B215" s="247"/>
      <c r="C215" s="312" t="s">
        <v>600</v>
      </c>
      <c r="D215" s="312" t="s">
        <v>350</v>
      </c>
      <c r="E215" s="313" t="s">
        <v>601</v>
      </c>
      <c r="F215" s="442" t="s">
        <v>602</v>
      </c>
      <c r="G215" s="443"/>
      <c r="H215" s="443"/>
      <c r="I215" s="443"/>
      <c r="J215" s="314" t="s">
        <v>151</v>
      </c>
      <c r="K215" s="315">
        <v>1</v>
      </c>
      <c r="L215" s="444"/>
      <c r="M215" s="443"/>
      <c r="N215" s="444">
        <f>ROUND($L$215*$K$215,2)</f>
        <v>0</v>
      </c>
      <c r="O215" s="443"/>
      <c r="P215" s="443"/>
      <c r="Q215" s="443"/>
      <c r="R215" s="249"/>
      <c r="T215" s="316"/>
      <c r="U215" s="317" t="s">
        <v>298</v>
      </c>
      <c r="V215" s="318">
        <v>0</v>
      </c>
      <c r="W215" s="318">
        <f>$V$215*$K$215</f>
        <v>0</v>
      </c>
      <c r="X215" s="318">
        <v>0</v>
      </c>
      <c r="Y215" s="318">
        <f>$X$215*$K$215</f>
        <v>0</v>
      </c>
      <c r="Z215" s="318">
        <v>0</v>
      </c>
      <c r="AA215" s="319">
        <f>$Z$215*$K$215</f>
        <v>0</v>
      </c>
      <c r="AR215" s="240" t="s">
        <v>595</v>
      </c>
      <c r="AT215" s="240" t="s">
        <v>350</v>
      </c>
      <c r="AU215" s="240" t="s">
        <v>260</v>
      </c>
      <c r="AY215" s="240" t="s">
        <v>349</v>
      </c>
      <c r="BE215" s="320">
        <f>IF($U$215="základní",$N$215,0)</f>
        <v>0</v>
      </c>
      <c r="BF215" s="320">
        <f>IF($U$215="snížená",$N$215,0)</f>
        <v>0</v>
      </c>
      <c r="BG215" s="320">
        <f>IF($U$215="zákl. přenesená",$N$215,0)</f>
        <v>0</v>
      </c>
      <c r="BH215" s="320">
        <f>IF($U$215="sníž. přenesená",$N$215,0)</f>
        <v>0</v>
      </c>
      <c r="BI215" s="320">
        <f>IF($U$215="nulová",$N$215,0)</f>
        <v>0</v>
      </c>
      <c r="BJ215" s="240" t="s">
        <v>347</v>
      </c>
      <c r="BK215" s="320">
        <f>ROUND($L$215*$K$215,2)</f>
        <v>0</v>
      </c>
      <c r="BL215" s="240" t="s">
        <v>595</v>
      </c>
    </row>
    <row r="216" spans="2:63" s="303" customFormat="1" ht="30.75" customHeight="1">
      <c r="B216" s="302"/>
      <c r="D216" s="311" t="s">
        <v>329</v>
      </c>
      <c r="N216" s="441">
        <f>$BK$216</f>
        <v>0</v>
      </c>
      <c r="O216" s="440"/>
      <c r="P216" s="440"/>
      <c r="Q216" s="440"/>
      <c r="R216" s="306"/>
      <c r="T216" s="307"/>
      <c r="W216" s="308">
        <f>SUM($W$217:$W$218)</f>
        <v>0</v>
      </c>
      <c r="Y216" s="308">
        <f>SUM($Y$217:$Y$218)</f>
        <v>0</v>
      </c>
      <c r="AA216" s="309">
        <f>SUM($AA$217:$AA$218)</f>
        <v>0</v>
      </c>
      <c r="AR216" s="305" t="s">
        <v>590</v>
      </c>
      <c r="AT216" s="305" t="s">
        <v>346</v>
      </c>
      <c r="AU216" s="305" t="s">
        <v>347</v>
      </c>
      <c r="AY216" s="305" t="s">
        <v>349</v>
      </c>
      <c r="BK216" s="310">
        <f>SUM($BK$217:$BK$218)</f>
        <v>0</v>
      </c>
    </row>
    <row r="217" spans="2:64" s="240" customFormat="1" ht="27" customHeight="1">
      <c r="B217" s="247"/>
      <c r="C217" s="312" t="s">
        <v>603</v>
      </c>
      <c r="D217" s="312" t="s">
        <v>350</v>
      </c>
      <c r="E217" s="313" t="s">
        <v>604</v>
      </c>
      <c r="F217" s="442" t="s">
        <v>605</v>
      </c>
      <c r="G217" s="443"/>
      <c r="H217" s="443"/>
      <c r="I217" s="443"/>
      <c r="J217" s="314" t="s">
        <v>594</v>
      </c>
      <c r="K217" s="315">
        <v>1</v>
      </c>
      <c r="L217" s="444"/>
      <c r="M217" s="443"/>
      <c r="N217" s="444">
        <f>ROUND($L$217*$K$217,2)</f>
        <v>0</v>
      </c>
      <c r="O217" s="443"/>
      <c r="P217" s="443"/>
      <c r="Q217" s="443"/>
      <c r="R217" s="249"/>
      <c r="T217" s="316"/>
      <c r="U217" s="317" t="s">
        <v>298</v>
      </c>
      <c r="V217" s="318">
        <v>0</v>
      </c>
      <c r="W217" s="318">
        <f>$V$217*$K$217</f>
        <v>0</v>
      </c>
      <c r="X217" s="318">
        <v>0</v>
      </c>
      <c r="Y217" s="318">
        <f>$X$217*$K$217</f>
        <v>0</v>
      </c>
      <c r="Z217" s="318">
        <v>0</v>
      </c>
      <c r="AA217" s="319">
        <f>$Z$217*$K$217</f>
        <v>0</v>
      </c>
      <c r="AR217" s="240" t="s">
        <v>606</v>
      </c>
      <c r="AT217" s="240" t="s">
        <v>350</v>
      </c>
      <c r="AU217" s="240" t="s">
        <v>260</v>
      </c>
      <c r="AY217" s="240" t="s">
        <v>349</v>
      </c>
      <c r="BE217" s="320">
        <f>IF($U$217="základní",$N$217,0)</f>
        <v>0</v>
      </c>
      <c r="BF217" s="320">
        <f>IF($U$217="snížená",$N$217,0)</f>
        <v>0</v>
      </c>
      <c r="BG217" s="320">
        <f>IF($U$217="zákl. přenesená",$N$217,0)</f>
        <v>0</v>
      </c>
      <c r="BH217" s="320">
        <f>IF($U$217="sníž. přenesená",$N$217,0)</f>
        <v>0</v>
      </c>
      <c r="BI217" s="320">
        <f>IF($U$217="nulová",$N$217,0)</f>
        <v>0</v>
      </c>
      <c r="BJ217" s="240" t="s">
        <v>347</v>
      </c>
      <c r="BK217" s="320">
        <f>ROUND($L$217*$K$217,2)</f>
        <v>0</v>
      </c>
      <c r="BL217" s="240" t="s">
        <v>606</v>
      </c>
    </row>
    <row r="218" spans="2:64" s="240" customFormat="1" ht="15.75" customHeight="1">
      <c r="B218" s="247"/>
      <c r="C218" s="312" t="s">
        <v>607</v>
      </c>
      <c r="D218" s="312" t="s">
        <v>350</v>
      </c>
      <c r="E218" s="313" t="s">
        <v>608</v>
      </c>
      <c r="F218" s="442" t="s">
        <v>609</v>
      </c>
      <c r="G218" s="443"/>
      <c r="H218" s="443"/>
      <c r="I218" s="443"/>
      <c r="J218" s="314" t="s">
        <v>151</v>
      </c>
      <c r="K218" s="315">
        <v>40</v>
      </c>
      <c r="L218" s="444"/>
      <c r="M218" s="443"/>
      <c r="N218" s="444">
        <f>ROUND($L$218*$K$218,2)</f>
        <v>0</v>
      </c>
      <c r="O218" s="443"/>
      <c r="P218" s="443"/>
      <c r="Q218" s="443"/>
      <c r="R218" s="249"/>
      <c r="T218" s="316"/>
      <c r="U218" s="325" t="s">
        <v>298</v>
      </c>
      <c r="V218" s="326">
        <v>0</v>
      </c>
      <c r="W218" s="326">
        <f>$V$218*$K$218</f>
        <v>0</v>
      </c>
      <c r="X218" s="326">
        <v>0</v>
      </c>
      <c r="Y218" s="326">
        <f>$X$218*$K$218</f>
        <v>0</v>
      </c>
      <c r="Z218" s="326">
        <v>0</v>
      </c>
      <c r="AA218" s="327">
        <f>$Z$218*$K$218</f>
        <v>0</v>
      </c>
      <c r="AR218" s="240" t="s">
        <v>595</v>
      </c>
      <c r="AT218" s="240" t="s">
        <v>350</v>
      </c>
      <c r="AU218" s="240" t="s">
        <v>260</v>
      </c>
      <c r="AY218" s="240" t="s">
        <v>349</v>
      </c>
      <c r="BE218" s="320">
        <f>IF($U$218="základní",$N$218,0)</f>
        <v>0</v>
      </c>
      <c r="BF218" s="320">
        <f>IF($U$218="snížená",$N$218,0)</f>
        <v>0</v>
      </c>
      <c r="BG218" s="320">
        <f>IF($U$218="zákl. přenesená",$N$218,0)</f>
        <v>0</v>
      </c>
      <c r="BH218" s="320">
        <f>IF($U$218="sníž. přenesená",$N$218,0)</f>
        <v>0</v>
      </c>
      <c r="BI218" s="320">
        <f>IF($U$218="nulová",$N$218,0)</f>
        <v>0</v>
      </c>
      <c r="BJ218" s="240" t="s">
        <v>347</v>
      </c>
      <c r="BK218" s="320">
        <f>ROUND($L$218*$K$218,2)</f>
        <v>0</v>
      </c>
      <c r="BL218" s="240" t="s">
        <v>595</v>
      </c>
    </row>
    <row r="219" spans="2:18" s="240" customFormat="1" ht="7.5" customHeight="1">
      <c r="B219" s="272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4"/>
    </row>
    <row r="220" s="238" customFormat="1" ht="14.25" customHeight="1"/>
  </sheetData>
  <sheetProtection/>
  <mergeCells count="328">
    <mergeCell ref="F218:I218"/>
    <mergeCell ref="L218:M218"/>
    <mergeCell ref="N218:Q218"/>
    <mergeCell ref="F215:I215"/>
    <mergeCell ref="L215:M215"/>
    <mergeCell ref="N215:Q215"/>
    <mergeCell ref="N216:Q216"/>
    <mergeCell ref="F217:I217"/>
    <mergeCell ref="L217:M217"/>
    <mergeCell ref="N217:Q217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N210:Q210"/>
    <mergeCell ref="N211:Q211"/>
    <mergeCell ref="F212:I212"/>
    <mergeCell ref="L212:M212"/>
    <mergeCell ref="N212:Q212"/>
    <mergeCell ref="N205:Q205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0:I200"/>
    <mergeCell ref="L200:M200"/>
    <mergeCell ref="N200:Q200"/>
    <mergeCell ref="N201:Q201"/>
    <mergeCell ref="F202:I202"/>
    <mergeCell ref="L202:M202"/>
    <mergeCell ref="N202:Q202"/>
    <mergeCell ref="N197:Q197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N193:Q193"/>
    <mergeCell ref="F194:I194"/>
    <mergeCell ref="L194:M194"/>
    <mergeCell ref="N194:Q194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N148:Q148"/>
    <mergeCell ref="F149:I149"/>
    <mergeCell ref="L149:M149"/>
    <mergeCell ref="N149:Q149"/>
    <mergeCell ref="N143:Q143"/>
    <mergeCell ref="F144:I144"/>
    <mergeCell ref="L144:M144"/>
    <mergeCell ref="N144:Q144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N122:Q122"/>
    <mergeCell ref="F123:I123"/>
    <mergeCell ref="L123:M123"/>
    <mergeCell ref="N123:Q123"/>
    <mergeCell ref="F124:I124"/>
    <mergeCell ref="L124:M124"/>
    <mergeCell ref="N124:Q124"/>
    <mergeCell ref="M117:Q117"/>
    <mergeCell ref="F119:I119"/>
    <mergeCell ref="L119:M119"/>
    <mergeCell ref="N119:Q119"/>
    <mergeCell ref="N120:Q120"/>
    <mergeCell ref="N121:Q121"/>
    <mergeCell ref="N102:Q102"/>
    <mergeCell ref="L104:Q104"/>
    <mergeCell ref="C110:Q110"/>
    <mergeCell ref="F112:P112"/>
    <mergeCell ref="M114:P114"/>
    <mergeCell ref="M116:Q11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19:P19"/>
    <mergeCell ref="O20:P20"/>
    <mergeCell ref="M23:P23"/>
    <mergeCell ref="M24:P24"/>
    <mergeCell ref="M26:P26"/>
    <mergeCell ref="H28:J28"/>
    <mergeCell ref="M28:P28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C5" sqref="C5"/>
    </sheetView>
  </sheetViews>
  <sheetFormatPr defaultColWidth="9.00390625" defaultRowHeight="12.75"/>
  <cols>
    <col min="1" max="1" width="5.875" style="137" customWidth="1"/>
    <col min="2" max="2" width="4.125" style="137" customWidth="1"/>
    <col min="3" max="3" width="31.625" style="137" customWidth="1"/>
    <col min="4" max="4" width="13.625" style="137" customWidth="1"/>
    <col min="5" max="5" width="23.00390625" style="137" customWidth="1"/>
    <col min="6" max="6" width="9.125" style="137" customWidth="1"/>
    <col min="7" max="7" width="21.625" style="137" customWidth="1"/>
    <col min="8" max="16384" width="9.125" style="137" customWidth="1"/>
  </cols>
  <sheetData>
    <row r="1" spans="1:7" ht="26.25" customHeight="1">
      <c r="A1" s="399" t="s">
        <v>31</v>
      </c>
      <c r="B1" s="399"/>
      <c r="C1" s="399"/>
      <c r="D1" s="399"/>
      <c r="E1" s="399"/>
      <c r="F1" s="399"/>
      <c r="G1" s="399"/>
    </row>
    <row r="3" spans="1:7" ht="15.75">
      <c r="A3" s="138" t="s">
        <v>21</v>
      </c>
      <c r="B3" s="139"/>
      <c r="C3" s="400" t="s">
        <v>74</v>
      </c>
      <c r="D3" s="400"/>
      <c r="E3" s="400"/>
      <c r="F3" s="400"/>
      <c r="G3" s="400"/>
    </row>
    <row r="4" spans="1:3" ht="12.75">
      <c r="A4" s="140" t="s">
        <v>22</v>
      </c>
      <c r="B4" s="139"/>
      <c r="C4" s="141" t="s">
        <v>61</v>
      </c>
    </row>
    <row r="5" spans="1:3" ht="12.75">
      <c r="A5" s="140" t="s">
        <v>42</v>
      </c>
      <c r="B5" s="139"/>
      <c r="C5" s="139" t="s">
        <v>145</v>
      </c>
    </row>
    <row r="7" spans="1:7" s="139" customFormat="1" ht="13.5" thickBot="1">
      <c r="A7" s="142"/>
      <c r="B7" s="142"/>
      <c r="C7" s="142"/>
      <c r="D7" s="142"/>
      <c r="E7" s="142" t="s">
        <v>29</v>
      </c>
      <c r="F7" s="142"/>
      <c r="G7" s="142" t="s">
        <v>28</v>
      </c>
    </row>
    <row r="8" spans="1:9" ht="12.75">
      <c r="A8" s="143"/>
      <c r="B8" s="143"/>
      <c r="C8" s="143"/>
      <c r="D8" s="143"/>
      <c r="E8" s="143"/>
      <c r="F8" s="143"/>
      <c r="G8" s="144"/>
      <c r="H8" s="143"/>
      <c r="I8" s="143"/>
    </row>
    <row r="9" spans="1:9" ht="12.75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2.75">
      <c r="A10" s="145">
        <v>1</v>
      </c>
      <c r="B10" s="143"/>
      <c r="C10" s="143" t="s">
        <v>146</v>
      </c>
      <c r="D10" s="143"/>
      <c r="E10" s="146">
        <f>'P-ON+VN'!I18</f>
        <v>0</v>
      </c>
      <c r="F10" s="147"/>
      <c r="G10" s="148"/>
      <c r="H10" s="143"/>
      <c r="I10" s="143"/>
    </row>
    <row r="11" spans="1:9" ht="12.75">
      <c r="A11" s="145"/>
      <c r="B11" s="143"/>
      <c r="C11" s="143"/>
      <c r="D11" s="143"/>
      <c r="E11" s="146"/>
      <c r="F11" s="147"/>
      <c r="G11" s="148"/>
      <c r="H11" s="143"/>
      <c r="I11" s="143"/>
    </row>
    <row r="12" spans="1:9" ht="12.75">
      <c r="A12" s="145">
        <v>2</v>
      </c>
      <c r="B12" s="143"/>
      <c r="C12" s="143" t="s">
        <v>147</v>
      </c>
      <c r="D12" s="143"/>
      <c r="E12" s="146">
        <f>'P-ON+VN'!I30</f>
        <v>0</v>
      </c>
      <c r="F12" s="147"/>
      <c r="G12" s="148"/>
      <c r="H12" s="143"/>
      <c r="I12" s="143"/>
    </row>
    <row r="13" spans="1:9" ht="13.5" thickBot="1">
      <c r="A13" s="149"/>
      <c r="B13" s="149"/>
      <c r="C13" s="149"/>
      <c r="D13" s="149"/>
      <c r="E13" s="150"/>
      <c r="F13" s="151"/>
      <c r="G13" s="152"/>
      <c r="H13" s="143"/>
      <c r="I13" s="143"/>
    </row>
    <row r="14" spans="1:9" ht="12.75">
      <c r="A14" s="143"/>
      <c r="B14" s="143"/>
      <c r="C14" s="143"/>
      <c r="D14" s="143"/>
      <c r="E14" s="143"/>
      <c r="F14" s="143"/>
      <c r="G14" s="148"/>
      <c r="H14" s="143"/>
      <c r="I14" s="143"/>
    </row>
    <row r="15" spans="1:9" s="158" customFormat="1" ht="15">
      <c r="A15" s="153" t="s">
        <v>44</v>
      </c>
      <c r="B15" s="153"/>
      <c r="C15" s="153"/>
      <c r="D15" s="153"/>
      <c r="E15" s="154">
        <f>SUM(E10:E13)</f>
        <v>0</v>
      </c>
      <c r="F15" s="155"/>
      <c r="G15" s="156">
        <f>SUM(G10:G13)</f>
        <v>0</v>
      </c>
      <c r="H15" s="157"/>
      <c r="I15" s="157"/>
    </row>
    <row r="16" spans="1:9" ht="12.75">
      <c r="A16" s="143"/>
      <c r="B16" s="143"/>
      <c r="C16" s="143"/>
      <c r="D16" s="143"/>
      <c r="E16" s="143"/>
      <c r="F16" s="143"/>
      <c r="G16" s="148"/>
      <c r="H16" s="143"/>
      <c r="I16" s="143"/>
    </row>
    <row r="17" spans="1:9" ht="12.75">
      <c r="A17" s="143"/>
      <c r="B17" s="143"/>
      <c r="C17" s="143"/>
      <c r="D17" s="143"/>
      <c r="E17" s="143"/>
      <c r="F17" s="143"/>
      <c r="G17" s="148"/>
      <c r="H17" s="143"/>
      <c r="I17" s="143"/>
    </row>
    <row r="18" spans="1:9" ht="15.75">
      <c r="A18" s="159" t="s">
        <v>45</v>
      </c>
      <c r="B18" s="159"/>
      <c r="C18" s="159"/>
      <c r="D18" s="159"/>
      <c r="E18" s="160">
        <f>ROUND(E15,1)</f>
        <v>0</v>
      </c>
      <c r="F18" s="159"/>
      <c r="G18" s="161"/>
      <c r="H18" s="143"/>
      <c r="I18" s="143"/>
    </row>
    <row r="19" spans="1:9" ht="15">
      <c r="A19" s="162"/>
      <c r="B19" s="162"/>
      <c r="C19" s="162"/>
      <c r="D19" s="162"/>
      <c r="E19" s="163"/>
      <c r="F19" s="163"/>
      <c r="G19" s="162"/>
      <c r="H19" s="143"/>
      <c r="I19" s="143"/>
    </row>
    <row r="20" spans="1:9" ht="15.75">
      <c r="A20" s="159" t="s">
        <v>48</v>
      </c>
      <c r="B20" s="401">
        <v>0.21</v>
      </c>
      <c r="C20" s="401"/>
      <c r="D20" s="162"/>
      <c r="E20" s="164">
        <f>ROUND(E18*B20,1)</f>
        <v>0</v>
      </c>
      <c r="F20" s="163"/>
      <c r="G20" s="162"/>
      <c r="H20" s="143"/>
      <c r="I20" s="143"/>
    </row>
    <row r="21" spans="1:9" ht="15">
      <c r="A21" s="162"/>
      <c r="B21" s="162"/>
      <c r="C21" s="165"/>
      <c r="D21" s="162"/>
      <c r="E21" s="163"/>
      <c r="F21" s="163"/>
      <c r="G21" s="162"/>
      <c r="H21" s="143"/>
      <c r="I21" s="143"/>
    </row>
    <row r="22" spans="1:9" ht="15.75">
      <c r="A22" s="159" t="s">
        <v>30</v>
      </c>
      <c r="B22" s="162"/>
      <c r="C22" s="162"/>
      <c r="D22" s="162"/>
      <c r="E22" s="166">
        <f>SUM(E18:E21)</f>
        <v>0</v>
      </c>
      <c r="F22" s="167"/>
      <c r="G22" s="167"/>
      <c r="H22" s="143"/>
      <c r="I22" s="143"/>
    </row>
    <row r="23" spans="1:9" ht="12.75">
      <c r="A23" s="143"/>
      <c r="B23" s="143"/>
      <c r="C23" s="143"/>
      <c r="D23" s="143"/>
      <c r="E23" s="143"/>
      <c r="F23" s="143"/>
      <c r="G23" s="143"/>
      <c r="H23" s="143"/>
      <c r="I23" s="143"/>
    </row>
    <row r="24" spans="1:9" ht="12.75">
      <c r="A24" s="143"/>
      <c r="B24" s="143"/>
      <c r="C24" s="143"/>
      <c r="D24" s="143"/>
      <c r="E24" s="143"/>
      <c r="F24" s="143"/>
      <c r="G24" s="143"/>
      <c r="H24" s="143"/>
      <c r="I24" s="143"/>
    </row>
    <row r="25" spans="1:9" ht="12.75">
      <c r="A25" s="143"/>
      <c r="B25" s="143"/>
      <c r="C25" s="143"/>
      <c r="D25" s="143"/>
      <c r="E25" s="143"/>
      <c r="F25" s="143"/>
      <c r="G25" s="143"/>
      <c r="H25" s="143"/>
      <c r="I25" s="143"/>
    </row>
    <row r="26" spans="1:9" ht="12.75">
      <c r="A26" s="143"/>
      <c r="B26" s="143"/>
      <c r="C26" s="143"/>
      <c r="D26" s="143"/>
      <c r="E26" s="143"/>
      <c r="F26" s="143"/>
      <c r="G26" s="143"/>
      <c r="H26" s="143"/>
      <c r="I26" s="143"/>
    </row>
    <row r="27" spans="1:9" ht="12.75">
      <c r="A27" s="143"/>
      <c r="B27" s="143"/>
      <c r="C27" s="143"/>
      <c r="D27" s="143"/>
      <c r="E27" s="143"/>
      <c r="F27" s="143"/>
      <c r="G27" s="143"/>
      <c r="H27" s="143"/>
      <c r="I27" s="143"/>
    </row>
    <row r="28" spans="1:9" ht="12.75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9" ht="12.75">
      <c r="A29" s="143"/>
      <c r="B29" s="143"/>
      <c r="C29" s="143"/>
      <c r="D29" s="143"/>
      <c r="E29" s="143"/>
      <c r="F29" s="143"/>
      <c r="G29" s="143"/>
      <c r="H29" s="143"/>
      <c r="I29" s="143"/>
    </row>
  </sheetData>
  <sheetProtection/>
  <mergeCells count="3">
    <mergeCell ref="A1:G1"/>
    <mergeCell ref="C3:G3"/>
    <mergeCell ref="B20:C20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view="pageBreakPreview" zoomScaleSheetLayoutView="100" zoomScalePageLayoutView="0" workbookViewId="0" topLeftCell="A1">
      <pane ySplit="8" topLeftCell="A15" activePane="bottomLeft" state="frozen"/>
      <selection pane="topLeft" activeCell="A8" sqref="A8"/>
      <selection pane="bottomLeft" activeCell="D34" sqref="D34"/>
    </sheetView>
  </sheetViews>
  <sheetFormatPr defaultColWidth="9.00390625" defaultRowHeight="12.75"/>
  <cols>
    <col min="1" max="1" width="3.75390625" style="137" customWidth="1"/>
    <col min="2" max="2" width="6.125" style="137" customWidth="1"/>
    <col min="3" max="3" width="10.00390625" style="173" customWidth="1"/>
    <col min="4" max="4" width="53.75390625" style="137" customWidth="1"/>
    <col min="5" max="5" width="11.375" style="170" bestFit="1" customWidth="1"/>
    <col min="6" max="6" width="6.625" style="171" bestFit="1" customWidth="1"/>
    <col min="7" max="7" width="10.125" style="137" customWidth="1"/>
    <col min="8" max="8" width="12.75390625" style="137" bestFit="1" customWidth="1"/>
    <col min="9" max="9" width="12.625" style="137" customWidth="1"/>
    <col min="10" max="10" width="9.25390625" style="137" bestFit="1" customWidth="1"/>
    <col min="11" max="11" width="11.625" style="137" customWidth="1"/>
    <col min="12" max="12" width="6.75390625" style="168" customWidth="1"/>
    <col min="13" max="16384" width="9.125" style="137" customWidth="1"/>
  </cols>
  <sheetData>
    <row r="1" spans="1:12" ht="26.25" customHeight="1">
      <c r="A1" s="399" t="s">
        <v>18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1" ht="15">
      <c r="A3" s="138" t="s">
        <v>21</v>
      </c>
      <c r="B3" s="139"/>
      <c r="C3" s="400" t="s">
        <v>74</v>
      </c>
      <c r="D3" s="403"/>
      <c r="E3" s="403"/>
      <c r="F3" s="403"/>
      <c r="G3" s="403"/>
      <c r="H3" s="403"/>
      <c r="I3" s="403"/>
      <c r="J3" s="403"/>
      <c r="K3" s="403"/>
    </row>
    <row r="4" spans="1:10" ht="12.75">
      <c r="A4" s="140" t="s">
        <v>22</v>
      </c>
      <c r="B4" s="139"/>
      <c r="C4" s="169" t="s">
        <v>61</v>
      </c>
      <c r="I4" s="172"/>
      <c r="J4" s="172" t="s">
        <v>54</v>
      </c>
    </row>
    <row r="5" spans="1:10" ht="12.75">
      <c r="A5" s="140" t="s">
        <v>42</v>
      </c>
      <c r="B5" s="139"/>
      <c r="C5" s="169" t="s">
        <v>145</v>
      </c>
      <c r="I5" s="172"/>
      <c r="J5" s="172" t="s">
        <v>55</v>
      </c>
    </row>
    <row r="7" spans="1:11" ht="12.75">
      <c r="A7" s="171" t="s">
        <v>0</v>
      </c>
      <c r="B7" s="171" t="s">
        <v>17</v>
      </c>
      <c r="D7" s="171"/>
      <c r="E7" s="174"/>
      <c r="G7" s="171"/>
      <c r="H7" s="171"/>
      <c r="I7" s="171"/>
      <c r="J7" s="404" t="s">
        <v>20</v>
      </c>
      <c r="K7" s="404"/>
    </row>
    <row r="8" spans="1:12" ht="13.5" thickBot="1">
      <c r="A8" s="175" t="s">
        <v>1</v>
      </c>
      <c r="B8" s="175" t="s">
        <v>2</v>
      </c>
      <c r="C8" s="176" t="s">
        <v>3</v>
      </c>
      <c r="D8" s="175" t="s">
        <v>4</v>
      </c>
      <c r="E8" s="177"/>
      <c r="F8" s="175" t="s">
        <v>5</v>
      </c>
      <c r="G8" s="175" t="s">
        <v>6</v>
      </c>
      <c r="H8" s="175" t="s">
        <v>7</v>
      </c>
      <c r="I8" s="175" t="s">
        <v>8</v>
      </c>
      <c r="J8" s="178" t="s">
        <v>9</v>
      </c>
      <c r="K8" s="178" t="s">
        <v>10</v>
      </c>
      <c r="L8" s="178" t="s">
        <v>57</v>
      </c>
    </row>
    <row r="9" spans="1:12" ht="12.75">
      <c r="A9" s="143"/>
      <c r="B9" s="143"/>
      <c r="C9" s="179"/>
      <c r="D9" s="143"/>
      <c r="E9" s="147"/>
      <c r="F9" s="180"/>
      <c r="G9" s="143"/>
      <c r="H9" s="143"/>
      <c r="I9" s="143"/>
      <c r="J9" s="143"/>
      <c r="K9" s="144"/>
      <c r="L9" s="144"/>
    </row>
    <row r="10" spans="1:12" ht="12.75">
      <c r="A10" s="181" t="s">
        <v>15</v>
      </c>
      <c r="B10" s="181"/>
      <c r="C10" s="182" t="s">
        <v>146</v>
      </c>
      <c r="D10" s="181"/>
      <c r="E10" s="183"/>
      <c r="F10" s="180"/>
      <c r="G10" s="143"/>
      <c r="H10" s="143"/>
      <c r="I10" s="143"/>
      <c r="J10" s="143"/>
      <c r="K10" s="143"/>
      <c r="L10" s="184"/>
    </row>
    <row r="11" spans="1:12" ht="6" customHeight="1">
      <c r="A11" s="185" t="s">
        <v>37</v>
      </c>
      <c r="B11" s="181"/>
      <c r="C11" s="182"/>
      <c r="D11" s="181"/>
      <c r="E11" s="183"/>
      <c r="F11" s="180"/>
      <c r="G11" s="186"/>
      <c r="H11" s="186"/>
      <c r="I11" s="186"/>
      <c r="J11" s="186"/>
      <c r="K11" s="186"/>
      <c r="L11" s="184"/>
    </row>
    <row r="12" spans="1:12" ht="12.75">
      <c r="A12" s="180">
        <v>1</v>
      </c>
      <c r="B12" s="143" t="s">
        <v>148</v>
      </c>
      <c r="C12" s="179" t="s">
        <v>149</v>
      </c>
      <c r="D12" s="187" t="s">
        <v>150</v>
      </c>
      <c r="E12" s="188"/>
      <c r="F12" s="189" t="s">
        <v>151</v>
      </c>
      <c r="G12" s="387">
        <v>1</v>
      </c>
      <c r="H12" s="188"/>
      <c r="I12" s="147">
        <f>G12*H12</f>
        <v>0</v>
      </c>
      <c r="J12" s="190"/>
      <c r="K12" s="191"/>
      <c r="L12" s="192" t="s">
        <v>58</v>
      </c>
    </row>
    <row r="13" spans="1:12" ht="12.75">
      <c r="A13" s="180"/>
      <c r="B13" s="143"/>
      <c r="C13" s="179"/>
      <c r="D13" s="405" t="s">
        <v>152</v>
      </c>
      <c r="E13" s="405"/>
      <c r="F13" s="180"/>
      <c r="G13" s="388"/>
      <c r="H13" s="147"/>
      <c r="I13" s="147"/>
      <c r="J13" s="194"/>
      <c r="K13" s="194"/>
      <c r="L13" s="184"/>
    </row>
    <row r="14" spans="1:12" ht="12.75">
      <c r="A14" s="189">
        <v>2</v>
      </c>
      <c r="B14" s="143" t="s">
        <v>148</v>
      </c>
      <c r="C14" s="195" t="s">
        <v>153</v>
      </c>
      <c r="D14" s="187" t="s">
        <v>154</v>
      </c>
      <c r="E14" s="188"/>
      <c r="F14" s="189" t="s">
        <v>151</v>
      </c>
      <c r="G14" s="387">
        <v>1</v>
      </c>
      <c r="H14" s="188"/>
      <c r="I14" s="147">
        <f>G14*H14</f>
        <v>0</v>
      </c>
      <c r="J14" s="190"/>
      <c r="K14" s="191"/>
      <c r="L14" s="192" t="s">
        <v>58</v>
      </c>
    </row>
    <row r="15" spans="1:12" ht="12.75">
      <c r="A15" s="189"/>
      <c r="B15" s="196"/>
      <c r="C15" s="195"/>
      <c r="D15" s="405" t="s">
        <v>155</v>
      </c>
      <c r="E15" s="405"/>
      <c r="F15" s="197"/>
      <c r="G15" s="389"/>
      <c r="H15" s="193"/>
      <c r="I15" s="147">
        <f>G15*H15</f>
        <v>0</v>
      </c>
      <c r="J15" s="190"/>
      <c r="K15" s="191"/>
      <c r="L15" s="192"/>
    </row>
    <row r="16" spans="1:12" ht="12.75">
      <c r="A16" s="189">
        <v>3</v>
      </c>
      <c r="B16" s="143" t="s">
        <v>148</v>
      </c>
      <c r="C16" s="195" t="s">
        <v>156</v>
      </c>
      <c r="D16" s="187" t="s">
        <v>157</v>
      </c>
      <c r="E16" s="188"/>
      <c r="F16" s="189" t="s">
        <v>151</v>
      </c>
      <c r="G16" s="387">
        <v>1</v>
      </c>
      <c r="H16" s="188"/>
      <c r="I16" s="147">
        <f>G16*H16</f>
        <v>0</v>
      </c>
      <c r="J16" s="190"/>
      <c r="K16" s="191"/>
      <c r="L16" s="192" t="s">
        <v>58</v>
      </c>
    </row>
    <row r="17" spans="1:12" ht="12.75">
      <c r="A17" s="189"/>
      <c r="B17" s="196"/>
      <c r="C17" s="195"/>
      <c r="D17" s="405" t="s">
        <v>158</v>
      </c>
      <c r="E17" s="405"/>
      <c r="F17" s="197"/>
      <c r="G17" s="389"/>
      <c r="H17" s="193"/>
      <c r="I17" s="147">
        <f>G17*H17</f>
        <v>0</v>
      </c>
      <c r="J17" s="190"/>
      <c r="K17" s="191"/>
      <c r="L17" s="192"/>
    </row>
    <row r="18" spans="1:12" ht="12.75">
      <c r="A18" s="143"/>
      <c r="B18" s="143"/>
      <c r="C18" s="179"/>
      <c r="D18" s="143"/>
      <c r="E18" s="147"/>
      <c r="F18" s="180"/>
      <c r="G18" s="390" t="s">
        <v>19</v>
      </c>
      <c r="H18" s="199"/>
      <c r="I18" s="200">
        <f>SUM(I12:I17)</f>
        <v>0</v>
      </c>
      <c r="J18" s="201"/>
      <c r="K18" s="202">
        <f>SUM(K12:K17)</f>
        <v>0</v>
      </c>
      <c r="L18" s="202">
        <f>SUM(L12:L17)</f>
        <v>0</v>
      </c>
    </row>
    <row r="19" spans="1:12" ht="12.75">
      <c r="A19" s="181" t="s">
        <v>15</v>
      </c>
      <c r="B19" s="181"/>
      <c r="C19" s="203" t="s">
        <v>147</v>
      </c>
      <c r="D19" s="181"/>
      <c r="E19" s="183"/>
      <c r="F19" s="143"/>
      <c r="G19" s="388"/>
      <c r="H19" s="143"/>
      <c r="I19" s="143"/>
      <c r="J19" s="143"/>
      <c r="K19" s="143"/>
      <c r="L19" s="184"/>
    </row>
    <row r="20" spans="1:12" ht="6" customHeight="1">
      <c r="A20" s="185" t="s">
        <v>37</v>
      </c>
      <c r="B20" s="181"/>
      <c r="C20" s="203"/>
      <c r="D20" s="181"/>
      <c r="E20" s="183"/>
      <c r="F20" s="143"/>
      <c r="G20" s="388"/>
      <c r="H20" s="143"/>
      <c r="I20" s="143"/>
      <c r="J20" s="143"/>
      <c r="K20" s="143"/>
      <c r="L20" s="184"/>
    </row>
    <row r="21" spans="1:12" ht="12.75">
      <c r="A21" s="204">
        <v>1</v>
      </c>
      <c r="B21" s="6" t="s">
        <v>32</v>
      </c>
      <c r="C21" s="205">
        <v>9131</v>
      </c>
      <c r="D21" s="6" t="s">
        <v>159</v>
      </c>
      <c r="E21" s="56"/>
      <c r="F21" s="204" t="s">
        <v>160</v>
      </c>
      <c r="G21" s="330">
        <v>1</v>
      </c>
      <c r="H21" s="206"/>
      <c r="I21" s="12">
        <f aca="true" t="shared" si="0" ref="I21:I26">G21*H21</f>
        <v>0</v>
      </c>
      <c r="J21" s="207"/>
      <c r="K21" s="68"/>
      <c r="L21" s="208" t="s">
        <v>59</v>
      </c>
    </row>
    <row r="22" spans="1:12" ht="12.75">
      <c r="A22" s="204"/>
      <c r="B22" s="6"/>
      <c r="C22" s="205"/>
      <c r="D22" s="50" t="s">
        <v>161</v>
      </c>
      <c r="E22" s="56"/>
      <c r="F22" s="204"/>
      <c r="G22" s="330"/>
      <c r="H22" s="206"/>
      <c r="I22" s="12">
        <f t="shared" si="0"/>
        <v>0</v>
      </c>
      <c r="J22" s="207"/>
      <c r="K22" s="68"/>
      <c r="L22" s="208"/>
    </row>
    <row r="23" spans="1:12" ht="12.75">
      <c r="A23" s="204">
        <v>2</v>
      </c>
      <c r="B23" s="6" t="s">
        <v>148</v>
      </c>
      <c r="C23" s="205">
        <v>12103000</v>
      </c>
      <c r="D23" s="209" t="s">
        <v>162</v>
      </c>
      <c r="E23" s="56"/>
      <c r="F23" s="204" t="s">
        <v>151</v>
      </c>
      <c r="G23" s="330">
        <v>1</v>
      </c>
      <c r="H23" s="206"/>
      <c r="I23" s="12">
        <f t="shared" si="0"/>
        <v>0</v>
      </c>
      <c r="J23" s="207"/>
      <c r="K23" s="68"/>
      <c r="L23" s="192" t="s">
        <v>58</v>
      </c>
    </row>
    <row r="24" spans="1:12" ht="12.75">
      <c r="A24" s="204"/>
      <c r="B24" s="6"/>
      <c r="C24" s="205"/>
      <c r="D24" s="50" t="s">
        <v>163</v>
      </c>
      <c r="E24" s="56"/>
      <c r="F24" s="204"/>
      <c r="G24" s="330"/>
      <c r="H24" s="206"/>
      <c r="I24" s="12">
        <f t="shared" si="0"/>
        <v>0</v>
      </c>
      <c r="J24" s="207"/>
      <c r="K24" s="68"/>
      <c r="L24" s="208"/>
    </row>
    <row r="25" spans="1:12" ht="12.75">
      <c r="A25" s="204">
        <v>3</v>
      </c>
      <c r="B25" s="6" t="s">
        <v>148</v>
      </c>
      <c r="C25" s="195" t="s">
        <v>164</v>
      </c>
      <c r="D25" s="6" t="s">
        <v>165</v>
      </c>
      <c r="E25" s="59"/>
      <c r="F25" s="204" t="s">
        <v>151</v>
      </c>
      <c r="G25" s="330">
        <v>1</v>
      </c>
      <c r="H25" s="206"/>
      <c r="I25" s="12">
        <f t="shared" si="0"/>
        <v>0</v>
      </c>
      <c r="J25" s="207"/>
      <c r="K25" s="68"/>
      <c r="L25" s="192" t="s">
        <v>58</v>
      </c>
    </row>
    <row r="26" spans="1:12" ht="12.75">
      <c r="A26" s="204">
        <v>4</v>
      </c>
      <c r="B26" s="6" t="s">
        <v>148</v>
      </c>
      <c r="C26" s="195" t="s">
        <v>166</v>
      </c>
      <c r="D26" s="6" t="s">
        <v>167</v>
      </c>
      <c r="E26" s="59"/>
      <c r="F26" s="204" t="s">
        <v>151</v>
      </c>
      <c r="G26" s="330">
        <v>1</v>
      </c>
      <c r="H26" s="206"/>
      <c r="I26" s="12">
        <f t="shared" si="0"/>
        <v>0</v>
      </c>
      <c r="J26" s="207"/>
      <c r="K26" s="68"/>
      <c r="L26" s="192" t="s">
        <v>58</v>
      </c>
    </row>
    <row r="27" spans="1:12" ht="12.75">
      <c r="A27" s="204"/>
      <c r="B27" s="6"/>
      <c r="C27" s="195"/>
      <c r="D27" s="50" t="s">
        <v>168</v>
      </c>
      <c r="E27" s="59"/>
      <c r="F27" s="204"/>
      <c r="G27" s="330"/>
      <c r="H27" s="206"/>
      <c r="I27" s="12"/>
      <c r="J27" s="207"/>
      <c r="K27" s="68"/>
      <c r="L27" s="208"/>
    </row>
    <row r="28" spans="1:12" ht="12.75">
      <c r="A28" s="204">
        <v>5</v>
      </c>
      <c r="B28" s="6" t="s">
        <v>148</v>
      </c>
      <c r="C28" s="195" t="s">
        <v>169</v>
      </c>
      <c r="D28" s="6" t="s">
        <v>170</v>
      </c>
      <c r="E28" s="59"/>
      <c r="F28" s="43" t="s">
        <v>142</v>
      </c>
      <c r="G28" s="330">
        <v>1</v>
      </c>
      <c r="H28" s="396"/>
      <c r="I28" s="12">
        <f>G28*H28</f>
        <v>0</v>
      </c>
      <c r="J28" s="207"/>
      <c r="K28" s="68"/>
      <c r="L28" s="208" t="s">
        <v>59</v>
      </c>
    </row>
    <row r="29" spans="1:12" ht="12.75">
      <c r="A29" s="204"/>
      <c r="B29" s="6"/>
      <c r="C29" s="195"/>
      <c r="D29" s="395" t="s">
        <v>936</v>
      </c>
      <c r="E29" s="59"/>
      <c r="F29" s="204"/>
      <c r="G29" s="12"/>
      <c r="H29" s="206"/>
      <c r="I29" s="12"/>
      <c r="J29" s="207"/>
      <c r="K29" s="68"/>
      <c r="L29" s="208"/>
    </row>
    <row r="30" spans="1:12" ht="12.75">
      <c r="A30" s="189"/>
      <c r="B30" s="143"/>
      <c r="C30" s="210"/>
      <c r="D30" s="143"/>
      <c r="E30" s="147"/>
      <c r="F30" s="180"/>
      <c r="G30" s="198" t="s">
        <v>19</v>
      </c>
      <c r="H30" s="199"/>
      <c r="I30" s="200">
        <f>SUM(I21:I29)</f>
        <v>0</v>
      </c>
      <c r="J30" s="201"/>
      <c r="K30" s="202"/>
      <c r="L30" s="202"/>
    </row>
    <row r="31" spans="1:12" ht="13.5" thickBot="1">
      <c r="A31" s="149"/>
      <c r="B31" s="149"/>
      <c r="C31" s="176"/>
      <c r="D31" s="149"/>
      <c r="E31" s="211"/>
      <c r="F31" s="175"/>
      <c r="G31" s="149"/>
      <c r="H31" s="149"/>
      <c r="I31" s="149"/>
      <c r="J31" s="149"/>
      <c r="K31" s="149"/>
      <c r="L31" s="149"/>
    </row>
    <row r="32" spans="1:12" ht="15.75">
      <c r="A32" s="159" t="s">
        <v>25</v>
      </c>
      <c r="B32" s="159"/>
      <c r="C32" s="212"/>
      <c r="D32" s="159"/>
      <c r="E32" s="161"/>
      <c r="F32" s="213"/>
      <c r="G32" s="402">
        <f>I18+I30</f>
        <v>0</v>
      </c>
      <c r="H32" s="402"/>
      <c r="I32" s="402"/>
      <c r="J32" s="161"/>
      <c r="K32" s="161"/>
      <c r="L32" s="161"/>
    </row>
    <row r="33" spans="1:12" ht="12.75">
      <c r="A33" s="143"/>
      <c r="B33" s="143"/>
      <c r="C33" s="179"/>
      <c r="D33" s="143"/>
      <c r="E33" s="147"/>
      <c r="F33" s="180"/>
      <c r="G33" s="143"/>
      <c r="H33" s="214" t="s">
        <v>46</v>
      </c>
      <c r="I33" s="215">
        <f>SUM(I12:I31)*0.5</f>
        <v>0</v>
      </c>
      <c r="J33" s="214"/>
      <c r="K33" s="215">
        <f>SUM(K12:K31)*0.5</f>
        <v>0</v>
      </c>
      <c r="L33" s="184"/>
    </row>
    <row r="34" spans="1:12" ht="12.75">
      <c r="A34" s="143"/>
      <c r="B34" s="143"/>
      <c r="C34" s="179"/>
      <c r="D34" s="143"/>
      <c r="E34" s="147"/>
      <c r="F34" s="180"/>
      <c r="G34" s="216"/>
      <c r="H34" s="143"/>
      <c r="I34" s="143"/>
      <c r="J34" s="143"/>
      <c r="K34" s="143"/>
      <c r="L34" s="184"/>
    </row>
    <row r="35" spans="1:12" ht="12.75">
      <c r="A35" s="143"/>
      <c r="B35" s="143"/>
      <c r="C35" s="179"/>
      <c r="D35" s="143"/>
      <c r="E35" s="147"/>
      <c r="F35" s="180"/>
      <c r="G35" s="143"/>
      <c r="H35" s="147"/>
      <c r="I35" s="143"/>
      <c r="J35" s="143"/>
      <c r="K35" s="143"/>
      <c r="L35" s="184"/>
    </row>
    <row r="36" spans="1:12" ht="12.75">
      <c r="A36" s="143"/>
      <c r="B36" s="143"/>
      <c r="C36" s="179"/>
      <c r="D36" s="143"/>
      <c r="E36" s="147"/>
      <c r="F36" s="180"/>
      <c r="G36" s="143"/>
      <c r="H36" s="143"/>
      <c r="I36" s="147"/>
      <c r="J36" s="143"/>
      <c r="K36" s="143"/>
      <c r="L36" s="184"/>
    </row>
    <row r="37" spans="1:12" ht="12.75">
      <c r="A37" s="143"/>
      <c r="B37" s="143"/>
      <c r="C37" s="179"/>
      <c r="D37" s="143"/>
      <c r="E37" s="147"/>
      <c r="F37" s="180"/>
      <c r="G37" s="143"/>
      <c r="H37" s="143"/>
      <c r="I37" s="143"/>
      <c r="J37" s="143"/>
      <c r="K37" s="143"/>
      <c r="L37" s="184"/>
    </row>
    <row r="38" spans="1:12" ht="12.75">
      <c r="A38" s="143"/>
      <c r="B38" s="143"/>
      <c r="C38" s="179"/>
      <c r="D38" s="143"/>
      <c r="E38" s="147"/>
      <c r="F38" s="180"/>
      <c r="G38" s="143"/>
      <c r="H38" s="143"/>
      <c r="I38" s="143"/>
      <c r="J38" s="143"/>
      <c r="K38" s="143"/>
      <c r="L38" s="184"/>
    </row>
    <row r="39" spans="1:12" ht="12.75">
      <c r="A39" s="143"/>
      <c r="B39" s="143"/>
      <c r="C39" s="179"/>
      <c r="D39" s="143"/>
      <c r="E39" s="147"/>
      <c r="F39" s="180"/>
      <c r="G39" s="143"/>
      <c r="H39" s="143"/>
      <c r="I39" s="143"/>
      <c r="J39" s="143"/>
      <c r="K39" s="143"/>
      <c r="L39" s="184"/>
    </row>
    <row r="40" spans="1:12" ht="12.75">
      <c r="A40" s="143"/>
      <c r="B40" s="143"/>
      <c r="C40" s="179"/>
      <c r="D40" s="143"/>
      <c r="E40" s="147"/>
      <c r="F40" s="180"/>
      <c r="G40" s="143"/>
      <c r="H40" s="143"/>
      <c r="I40" s="143"/>
      <c r="J40" s="143"/>
      <c r="K40" s="143"/>
      <c r="L40" s="184"/>
    </row>
    <row r="41" spans="1:12" ht="12.75">
      <c r="A41" s="143"/>
      <c r="B41" s="143"/>
      <c r="C41" s="179"/>
      <c r="D41" s="143"/>
      <c r="E41" s="147"/>
      <c r="F41" s="180"/>
      <c r="G41" s="143"/>
      <c r="H41" s="143"/>
      <c r="I41" s="143"/>
      <c r="J41" s="143"/>
      <c r="K41" s="143"/>
      <c r="L41" s="184"/>
    </row>
    <row r="42" spans="1:12" ht="12.75">
      <c r="A42" s="143"/>
      <c r="B42" s="143"/>
      <c r="C42" s="179"/>
      <c r="D42" s="143"/>
      <c r="E42" s="147"/>
      <c r="F42" s="180"/>
      <c r="G42" s="143"/>
      <c r="H42" s="143"/>
      <c r="I42" s="143"/>
      <c r="J42" s="143"/>
      <c r="K42" s="143"/>
      <c r="L42" s="184"/>
    </row>
    <row r="43" spans="1:12" ht="12.75">
      <c r="A43" s="143"/>
      <c r="B43" s="143"/>
      <c r="C43" s="179"/>
      <c r="D43" s="143"/>
      <c r="E43" s="147"/>
      <c r="F43" s="180"/>
      <c r="G43" s="143"/>
      <c r="H43" s="143"/>
      <c r="I43" s="143"/>
      <c r="J43" s="143"/>
      <c r="K43" s="143"/>
      <c r="L43" s="184"/>
    </row>
    <row r="44" spans="1:12" ht="12.75">
      <c r="A44" s="143"/>
      <c r="B44" s="143"/>
      <c r="C44" s="179"/>
      <c r="D44" s="143"/>
      <c r="E44" s="147"/>
      <c r="F44" s="180"/>
      <c r="G44" s="143"/>
      <c r="H44" s="143"/>
      <c r="I44" s="143"/>
      <c r="J44" s="143"/>
      <c r="K44" s="143"/>
      <c r="L44" s="184"/>
    </row>
  </sheetData>
  <sheetProtection/>
  <mergeCells count="7">
    <mergeCell ref="G32:I32"/>
    <mergeCell ref="A1:L1"/>
    <mergeCell ref="C3:K3"/>
    <mergeCell ref="J7:K7"/>
    <mergeCell ref="D13:E13"/>
    <mergeCell ref="D15:E15"/>
    <mergeCell ref="D17:E17"/>
  </mergeCells>
  <printOptions horizontalCentered="1"/>
  <pageMargins left="0.5905511811023623" right="0.5905511811023623" top="0.7086614173228347" bottom="0.7480314960629921" header="0.5118110236220472" footer="0.5511811023622047"/>
  <pageSetup fitToHeight="0" fitToWidth="1" horizontalDpi="204" verticalDpi="204" orientation="portrait" paperSize="9" scale="59" r:id="rId1"/>
  <headerFooter alignWithMargins="0">
    <oddHeader>&amp;L&amp;9Položky&amp;R&amp;8Strana &amp;P z &amp;N</oddHead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E26" sqref="E26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4" t="s">
        <v>137</v>
      </c>
    </row>
    <row r="5" spans="1:3" ht="12.75">
      <c r="A5" s="3" t="s">
        <v>42</v>
      </c>
      <c r="B5" s="4"/>
      <c r="C5" s="139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97">
        <v>10</v>
      </c>
      <c r="C10" s="2" t="s">
        <v>26</v>
      </c>
      <c r="E10" s="98">
        <f>'P-101'!I54</f>
        <v>0</v>
      </c>
      <c r="F10" s="32"/>
      <c r="G10" s="99">
        <f>'P-101'!K54</f>
        <v>1.2415004</v>
      </c>
    </row>
    <row r="11" spans="1:7" ht="12.75">
      <c r="A11" s="97"/>
      <c r="E11" s="98"/>
      <c r="F11" s="32"/>
      <c r="G11" s="99"/>
    </row>
    <row r="12" spans="1:7" ht="12.75">
      <c r="A12" s="97">
        <v>50</v>
      </c>
      <c r="C12" s="2" t="s">
        <v>33</v>
      </c>
      <c r="E12" s="98">
        <f>'P-101'!I125</f>
        <v>0</v>
      </c>
      <c r="F12" s="32"/>
      <c r="G12" s="99">
        <f>'P-101'!K125</f>
        <v>2395.722485632698</v>
      </c>
    </row>
    <row r="13" spans="1:7" ht="12.75">
      <c r="A13" s="97"/>
      <c r="E13" s="98"/>
      <c r="F13" s="32"/>
      <c r="G13" s="99"/>
    </row>
    <row r="14" spans="1:7" ht="12.75">
      <c r="A14" s="97">
        <v>80</v>
      </c>
      <c r="C14" s="2" t="s">
        <v>50</v>
      </c>
      <c r="E14" s="98">
        <f>'P-101'!I142</f>
        <v>0</v>
      </c>
      <c r="F14" s="32"/>
      <c r="G14" s="99">
        <f>'P-101'!K142</f>
        <v>154.1162</v>
      </c>
    </row>
    <row r="15" spans="1:7" ht="12.75">
      <c r="A15" s="97"/>
      <c r="E15" s="98"/>
      <c r="F15" s="32"/>
      <c r="G15" s="99"/>
    </row>
    <row r="16" spans="1:7" ht="12.75">
      <c r="A16" s="97">
        <v>90</v>
      </c>
      <c r="C16" s="2" t="s">
        <v>35</v>
      </c>
      <c r="E16" s="98">
        <f>'P-101'!I161</f>
        <v>0</v>
      </c>
      <c r="F16" s="32"/>
      <c r="G16" s="99">
        <f>'P-101'!K161</f>
        <v>204.73693229999998</v>
      </c>
    </row>
    <row r="17" spans="1:7" ht="12.75">
      <c r="A17" s="97"/>
      <c r="E17" s="98"/>
      <c r="F17" s="32"/>
      <c r="G17" s="99"/>
    </row>
    <row r="18" spans="1:7" ht="12.75">
      <c r="A18" s="97">
        <v>99</v>
      </c>
      <c r="C18" s="2" t="s">
        <v>27</v>
      </c>
      <c r="E18" s="98">
        <f>'P-101'!I165</f>
        <v>0</v>
      </c>
      <c r="F18" s="32"/>
      <c r="G18" s="99"/>
    </row>
    <row r="19" spans="1:7" ht="13.5" thickBot="1">
      <c r="A19" s="100"/>
      <c r="B19" s="100"/>
      <c r="C19" s="100"/>
      <c r="D19" s="100"/>
      <c r="E19" s="101"/>
      <c r="F19" s="102"/>
      <c r="G19" s="103"/>
    </row>
    <row r="20" ht="12.75">
      <c r="G20" s="99"/>
    </row>
    <row r="21" spans="1:7" s="108" customFormat="1" ht="15">
      <c r="A21" s="104" t="s">
        <v>44</v>
      </c>
      <c r="B21" s="104"/>
      <c r="C21" s="129"/>
      <c r="D21" s="104"/>
      <c r="E21" s="105">
        <f>SUM(E10:E19)</f>
        <v>0</v>
      </c>
      <c r="F21" s="106"/>
      <c r="G21" s="107">
        <f>SUM(G10:G19)</f>
        <v>2755.8171183326976</v>
      </c>
    </row>
    <row r="22" spans="1:7" s="109" customFormat="1" ht="15">
      <c r="A22" s="2"/>
      <c r="B22" s="2"/>
      <c r="C22" s="2"/>
      <c r="D22" s="2"/>
      <c r="E22" s="2"/>
      <c r="F22" s="2"/>
      <c r="G22" s="99"/>
    </row>
    <row r="23" ht="12.75">
      <c r="G23" s="99"/>
    </row>
    <row r="24" spans="1:7" ht="15.75">
      <c r="A24" s="110" t="s">
        <v>45</v>
      </c>
      <c r="B24" s="110"/>
      <c r="C24" s="110"/>
      <c r="D24" s="110"/>
      <c r="E24" s="111">
        <f>E21</f>
        <v>0</v>
      </c>
      <c r="F24" s="110"/>
      <c r="G24" s="112"/>
    </row>
    <row r="25" spans="1:7" ht="15">
      <c r="A25" s="109"/>
      <c r="B25" s="109"/>
      <c r="C25" s="109"/>
      <c r="D25" s="109"/>
      <c r="E25" s="113"/>
      <c r="F25" s="113"/>
      <c r="G25" s="109"/>
    </row>
    <row r="26" spans="1:7" ht="15.75">
      <c r="A26" s="110" t="s">
        <v>48</v>
      </c>
      <c r="B26" s="407">
        <v>0.21</v>
      </c>
      <c r="C26" s="407"/>
      <c r="D26" s="109"/>
      <c r="E26" s="114">
        <f>ROUND(E24*B26,1)</f>
        <v>0</v>
      </c>
      <c r="F26" s="113"/>
      <c r="G26" s="109"/>
    </row>
    <row r="27" spans="1:7" ht="15">
      <c r="A27" s="109"/>
      <c r="B27" s="109"/>
      <c r="C27" s="109"/>
      <c r="D27" s="109"/>
      <c r="E27" s="113"/>
      <c r="F27" s="113"/>
      <c r="G27" s="109"/>
    </row>
    <row r="28" spans="1:7" ht="15.75">
      <c r="A28" s="110" t="s">
        <v>30</v>
      </c>
      <c r="B28" s="109"/>
      <c r="C28" s="109"/>
      <c r="D28" s="109"/>
      <c r="E28" s="115">
        <f>SUM(E24:E27)</f>
        <v>0</v>
      </c>
      <c r="F28" s="116"/>
      <c r="G28" s="116"/>
    </row>
  </sheetData>
  <sheetProtection/>
  <mergeCells count="2">
    <mergeCell ref="A1:G1"/>
    <mergeCell ref="B26:C26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showZeros="0" view="pageBreakPreview" zoomScaleSheetLayoutView="100" zoomScalePageLayoutView="0" workbookViewId="0" topLeftCell="A1">
      <pane ySplit="8" topLeftCell="A147" activePane="bottomLeft" state="frozen"/>
      <selection pane="topLeft" activeCell="C5" sqref="C5"/>
      <selection pane="bottomLeft" activeCell="H164" sqref="H164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40" bestFit="1" customWidth="1"/>
    <col min="6" max="6" width="6.625" style="33" bestFit="1" customWidth="1"/>
    <col min="7" max="7" width="10.125" style="340" customWidth="1"/>
    <col min="8" max="8" width="10.25390625" style="2" bestFit="1" customWidth="1"/>
    <col min="9" max="9" width="12.625" style="2" customWidth="1"/>
    <col min="10" max="10" width="9.25390625" style="2" bestFit="1" customWidth="1"/>
    <col min="11" max="11" width="11.625" style="2" customWidth="1"/>
    <col min="12" max="12" width="6.75390625" style="34" customWidth="1"/>
    <col min="13" max="13" width="9.125" style="2" customWidth="1"/>
    <col min="14" max="14" width="2.375" style="2" customWidth="1"/>
    <col min="15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137</v>
      </c>
      <c r="J4" s="36" t="s">
        <v>54</v>
      </c>
      <c r="K4" s="2" t="s">
        <v>69</v>
      </c>
    </row>
    <row r="5" spans="1:11" ht="12.75">
      <c r="A5" s="3" t="s">
        <v>42</v>
      </c>
      <c r="B5" s="4"/>
      <c r="C5" s="139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41"/>
      <c r="G7" s="341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342"/>
      <c r="F8" s="39" t="s">
        <v>5</v>
      </c>
      <c r="G8" s="342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/>
      <c r="B9" s="6"/>
      <c r="C9" s="42"/>
      <c r="D9" s="6"/>
      <c r="E9" s="330"/>
      <c r="F9" s="43"/>
      <c r="G9" s="330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16</v>
      </c>
      <c r="D10" s="45"/>
      <c r="E10" s="343"/>
      <c r="F10" s="43"/>
      <c r="G10" s="330"/>
      <c r="H10" s="6"/>
      <c r="I10" s="6"/>
      <c r="J10" s="6"/>
      <c r="K10" s="6"/>
      <c r="L10" s="1"/>
    </row>
    <row r="11" spans="1:12" ht="6" customHeight="1">
      <c r="A11" s="47" t="s">
        <v>37</v>
      </c>
      <c r="B11" s="45"/>
      <c r="C11" s="16"/>
      <c r="D11" s="45"/>
      <c r="E11" s="343"/>
      <c r="F11" s="43"/>
      <c r="G11" s="351"/>
      <c r="H11" s="48"/>
      <c r="I11" s="48"/>
      <c r="J11" s="48"/>
      <c r="K11" s="48"/>
      <c r="L11" s="1"/>
    </row>
    <row r="12" spans="1:12" ht="12.75">
      <c r="A12" s="43">
        <v>1</v>
      </c>
      <c r="B12" s="6" t="s">
        <v>32</v>
      </c>
      <c r="C12" s="42">
        <v>113107241</v>
      </c>
      <c r="D12" s="6" t="s">
        <v>97</v>
      </c>
      <c r="E12" s="330"/>
      <c r="F12" s="43" t="s">
        <v>11</v>
      </c>
      <c r="G12" s="330">
        <f>SUM(E14)</f>
        <v>4433.93</v>
      </c>
      <c r="H12" s="12"/>
      <c r="I12" s="12">
        <f>G12*H12</f>
        <v>0</v>
      </c>
      <c r="J12" s="49">
        <v>5E-05</v>
      </c>
      <c r="K12" s="49">
        <f>G12*J12</f>
        <v>0.22169650000000002</v>
      </c>
      <c r="L12" s="1" t="s">
        <v>58</v>
      </c>
    </row>
    <row r="13" spans="1:12" ht="12.75">
      <c r="A13" s="43"/>
      <c r="B13" s="6"/>
      <c r="C13" s="42"/>
      <c r="D13" s="50" t="s">
        <v>98</v>
      </c>
      <c r="E13" s="330"/>
      <c r="F13" s="43"/>
      <c r="G13" s="330"/>
      <c r="H13" s="12"/>
      <c r="I13" s="12"/>
      <c r="J13" s="49"/>
      <c r="K13" s="49"/>
      <c r="L13" s="1"/>
    </row>
    <row r="14" spans="1:12" ht="12.75">
      <c r="A14" s="43"/>
      <c r="B14" s="6"/>
      <c r="C14" s="42"/>
      <c r="D14" s="51" t="s">
        <v>173</v>
      </c>
      <c r="E14" s="344">
        <v>4433.93</v>
      </c>
      <c r="F14" s="43"/>
      <c r="G14" s="330"/>
      <c r="H14" s="12"/>
      <c r="I14" s="12"/>
      <c r="J14" s="49"/>
      <c r="K14" s="49"/>
      <c r="L14" s="1"/>
    </row>
    <row r="15" spans="1:12" ht="12.75">
      <c r="A15" s="43">
        <v>2</v>
      </c>
      <c r="B15" s="6" t="s">
        <v>32</v>
      </c>
      <c r="C15" s="42">
        <v>997221561</v>
      </c>
      <c r="D15" s="6" t="s">
        <v>99</v>
      </c>
      <c r="E15" s="330"/>
      <c r="F15" s="43" t="s">
        <v>14</v>
      </c>
      <c r="G15" s="330">
        <f>E16</f>
        <v>341.41</v>
      </c>
      <c r="H15" s="12"/>
      <c r="I15" s="12">
        <f>G15*H15</f>
        <v>0</v>
      </c>
      <c r="J15" s="49"/>
      <c r="K15" s="49"/>
      <c r="L15" s="1" t="s">
        <v>58</v>
      </c>
    </row>
    <row r="16" spans="1:12" ht="12.75">
      <c r="A16" s="43"/>
      <c r="B16" s="6"/>
      <c r="C16" s="42"/>
      <c r="D16" s="51" t="s">
        <v>112</v>
      </c>
      <c r="E16" s="344">
        <f>ROUND(0.077*G12,2)</f>
        <v>341.41</v>
      </c>
      <c r="F16" s="43"/>
      <c r="G16" s="330"/>
      <c r="H16" s="12"/>
      <c r="I16" s="12"/>
      <c r="J16" s="49"/>
      <c r="K16" s="49"/>
      <c r="L16" s="1"/>
    </row>
    <row r="17" spans="1:12" ht="12.75">
      <c r="A17" s="43">
        <v>3</v>
      </c>
      <c r="B17" s="6" t="s">
        <v>32</v>
      </c>
      <c r="C17" s="42">
        <v>997221569</v>
      </c>
      <c r="D17" s="6" t="s">
        <v>51</v>
      </c>
      <c r="E17" s="330"/>
      <c r="F17" s="43" t="s">
        <v>14</v>
      </c>
      <c r="G17" s="330">
        <f>E19</f>
        <v>4779.740000000001</v>
      </c>
      <c r="H17" s="12"/>
      <c r="I17" s="12">
        <f>G17*H17</f>
        <v>0</v>
      </c>
      <c r="J17" s="49"/>
      <c r="K17" s="49"/>
      <c r="L17" s="1" t="s">
        <v>58</v>
      </c>
    </row>
    <row r="18" spans="1:12" ht="12.75">
      <c r="A18" s="43"/>
      <c r="B18" s="6"/>
      <c r="C18" s="42"/>
      <c r="D18" s="50" t="s">
        <v>52</v>
      </c>
      <c r="E18" s="330"/>
      <c r="F18" s="43"/>
      <c r="G18" s="330"/>
      <c r="H18" s="12"/>
      <c r="I18" s="12"/>
      <c r="J18" s="49"/>
      <c r="K18" s="49"/>
      <c r="L18" s="1"/>
    </row>
    <row r="19" spans="1:12" ht="12.75">
      <c r="A19" s="43"/>
      <c r="B19" s="6"/>
      <c r="C19" s="42"/>
      <c r="D19" s="51" t="s">
        <v>807</v>
      </c>
      <c r="E19" s="329">
        <f>(15-1)*G15</f>
        <v>4779.740000000001</v>
      </c>
      <c r="F19" s="43"/>
      <c r="G19" s="330"/>
      <c r="H19" s="12"/>
      <c r="I19" s="12"/>
      <c r="J19" s="49"/>
      <c r="K19" s="49"/>
      <c r="L19" s="1"/>
    </row>
    <row r="20" spans="1:12" ht="12.75">
      <c r="A20" s="43">
        <v>4</v>
      </c>
      <c r="B20" s="6" t="s">
        <v>32</v>
      </c>
      <c r="C20" s="42">
        <v>997221845</v>
      </c>
      <c r="D20" s="6" t="s">
        <v>64</v>
      </c>
      <c r="E20" s="330"/>
      <c r="F20" s="43" t="s">
        <v>14</v>
      </c>
      <c r="G20" s="330">
        <f>SUM(E21)</f>
        <v>341.41</v>
      </c>
      <c r="H20" s="12"/>
      <c r="I20" s="12">
        <f>G20*H20</f>
        <v>0</v>
      </c>
      <c r="J20" s="49"/>
      <c r="K20" s="49"/>
      <c r="L20" s="1" t="s">
        <v>58</v>
      </c>
    </row>
    <row r="21" spans="1:12" ht="12.75">
      <c r="A21" s="43"/>
      <c r="B21" s="6"/>
      <c r="C21" s="120"/>
      <c r="D21" s="51" t="s">
        <v>71</v>
      </c>
      <c r="E21" s="344">
        <f>G15</f>
        <v>341.41</v>
      </c>
      <c r="F21" s="43"/>
      <c r="G21" s="330"/>
      <c r="H21" s="12"/>
      <c r="I21" s="12"/>
      <c r="J21" s="49"/>
      <c r="K21" s="49"/>
      <c r="L21" s="1"/>
    </row>
    <row r="22" spans="1:12" ht="12.75">
      <c r="A22" s="43">
        <v>5</v>
      </c>
      <c r="B22" s="6" t="s">
        <v>32</v>
      </c>
      <c r="C22" s="42">
        <v>113155355</v>
      </c>
      <c r="D22" s="6" t="s">
        <v>113</v>
      </c>
      <c r="E22" s="330"/>
      <c r="F22" s="43" t="s">
        <v>11</v>
      </c>
      <c r="G22" s="330">
        <f>SUM(E24:E24)</f>
        <v>4433.93</v>
      </c>
      <c r="H22" s="12"/>
      <c r="I22" s="12">
        <f>G22*H22</f>
        <v>0</v>
      </c>
      <c r="J22" s="49">
        <v>0.00023</v>
      </c>
      <c r="K22" s="49">
        <f>G22*J22</f>
        <v>1.0198039</v>
      </c>
      <c r="L22" s="1" t="s">
        <v>59</v>
      </c>
    </row>
    <row r="23" spans="1:12" ht="12.75">
      <c r="A23" s="43"/>
      <c r="B23" s="6"/>
      <c r="C23" s="42"/>
      <c r="D23" s="50" t="s">
        <v>100</v>
      </c>
      <c r="E23" s="330"/>
      <c r="F23" s="43"/>
      <c r="G23" s="330"/>
      <c r="H23" s="12"/>
      <c r="I23" s="12"/>
      <c r="J23" s="49"/>
      <c r="K23" s="49"/>
      <c r="L23" s="1"/>
    </row>
    <row r="24" spans="1:12" ht="12.75">
      <c r="A24" s="43"/>
      <c r="B24" s="6"/>
      <c r="C24" s="42"/>
      <c r="D24" s="51" t="s">
        <v>174</v>
      </c>
      <c r="E24" s="344">
        <v>4433.93</v>
      </c>
      <c r="F24" s="43"/>
      <c r="G24" s="330"/>
      <c r="H24" s="12"/>
      <c r="I24" s="12"/>
      <c r="J24" s="49"/>
      <c r="K24" s="49"/>
      <c r="L24" s="1"/>
    </row>
    <row r="25" spans="1:12" ht="12.75">
      <c r="A25" s="43">
        <v>6</v>
      </c>
      <c r="B25" s="6" t="s">
        <v>32</v>
      </c>
      <c r="C25" s="42">
        <v>997221551</v>
      </c>
      <c r="D25" s="6" t="s">
        <v>63</v>
      </c>
      <c r="E25" s="330"/>
      <c r="F25" s="43" t="s">
        <v>14</v>
      </c>
      <c r="G25" s="330">
        <f>E26</f>
        <v>1361.22</v>
      </c>
      <c r="H25" s="12"/>
      <c r="I25" s="12">
        <f>G25*H25</f>
        <v>0</v>
      </c>
      <c r="J25" s="49"/>
      <c r="K25" s="49"/>
      <c r="L25" s="1" t="s">
        <v>58</v>
      </c>
    </row>
    <row r="26" spans="1:12" ht="12.75">
      <c r="A26" s="43"/>
      <c r="B26" s="6"/>
      <c r="C26" s="42"/>
      <c r="D26" s="51" t="s">
        <v>114</v>
      </c>
      <c r="E26" s="344">
        <f>ROUND(0.307*G22,2)</f>
        <v>1361.22</v>
      </c>
      <c r="F26" s="43"/>
      <c r="G26" s="330"/>
      <c r="H26" s="12"/>
      <c r="I26" s="12"/>
      <c r="J26" s="49"/>
      <c r="K26" s="49"/>
      <c r="L26" s="1"/>
    </row>
    <row r="27" spans="1:12" ht="12.75">
      <c r="A27" s="43">
        <v>7</v>
      </c>
      <c r="B27" s="6" t="s">
        <v>32</v>
      </c>
      <c r="C27" s="42">
        <v>997221559</v>
      </c>
      <c r="D27" s="6" t="s">
        <v>51</v>
      </c>
      <c r="E27" s="330"/>
      <c r="F27" s="43" t="s">
        <v>14</v>
      </c>
      <c r="G27" s="330">
        <f>E29</f>
        <v>19057.08</v>
      </c>
      <c r="H27" s="12"/>
      <c r="I27" s="12">
        <f>G27*H27</f>
        <v>0</v>
      </c>
      <c r="J27" s="49"/>
      <c r="K27" s="49"/>
      <c r="L27" s="1" t="s">
        <v>58</v>
      </c>
    </row>
    <row r="28" spans="1:12" ht="12.75">
      <c r="A28" s="43"/>
      <c r="B28" s="6"/>
      <c r="C28" s="42"/>
      <c r="D28" s="50" t="s">
        <v>52</v>
      </c>
      <c r="E28" s="330"/>
      <c r="F28" s="43"/>
      <c r="G28" s="330"/>
      <c r="H28" s="12"/>
      <c r="I28" s="12"/>
      <c r="J28" s="49"/>
      <c r="K28" s="49"/>
      <c r="L28" s="1"/>
    </row>
    <row r="29" spans="1:12" ht="12.75">
      <c r="A29" s="43"/>
      <c r="B29" s="6"/>
      <c r="C29" s="42"/>
      <c r="D29" s="51" t="s">
        <v>808</v>
      </c>
      <c r="E29" s="329">
        <f>(15-1)*G25</f>
        <v>19057.08</v>
      </c>
      <c r="F29" s="43"/>
      <c r="G29" s="330"/>
      <c r="H29" s="12"/>
      <c r="I29" s="12"/>
      <c r="J29" s="49"/>
      <c r="K29" s="49"/>
      <c r="L29" s="1"/>
    </row>
    <row r="30" spans="1:12" ht="12.75">
      <c r="A30" s="43">
        <v>8</v>
      </c>
      <c r="B30" s="6" t="s">
        <v>32</v>
      </c>
      <c r="C30" s="42">
        <v>997221815</v>
      </c>
      <c r="D30" s="6" t="s">
        <v>73</v>
      </c>
      <c r="E30" s="330"/>
      <c r="F30" s="43" t="s">
        <v>14</v>
      </c>
      <c r="G30" s="330">
        <f>SUM(E31)</f>
        <v>1361.22</v>
      </c>
      <c r="H30" s="12"/>
      <c r="I30" s="12">
        <f>G30*H30</f>
        <v>0</v>
      </c>
      <c r="J30" s="49"/>
      <c r="K30" s="49"/>
      <c r="L30" s="1" t="s">
        <v>58</v>
      </c>
    </row>
    <row r="31" spans="1:12" ht="12.75">
      <c r="A31" s="43"/>
      <c r="B31" s="6"/>
      <c r="C31" s="42"/>
      <c r="D31" s="51" t="s">
        <v>70</v>
      </c>
      <c r="E31" s="344">
        <f>G25</f>
        <v>1361.22</v>
      </c>
      <c r="F31" s="43"/>
      <c r="G31" s="330"/>
      <c r="H31" s="12"/>
      <c r="I31" s="12"/>
      <c r="J31" s="49"/>
      <c r="K31" s="49"/>
      <c r="L31" s="1"/>
    </row>
    <row r="32" spans="1:12" ht="12.75">
      <c r="A32" s="43">
        <v>9</v>
      </c>
      <c r="B32" s="6" t="s">
        <v>32</v>
      </c>
      <c r="C32" s="42">
        <v>113106521</v>
      </c>
      <c r="D32" s="6" t="s">
        <v>115</v>
      </c>
      <c r="E32" s="330"/>
      <c r="F32" s="43" t="s">
        <v>11</v>
      </c>
      <c r="G32" s="330">
        <f>SUM(E35:E35)</f>
        <v>797.64</v>
      </c>
      <c r="H32" s="12"/>
      <c r="I32" s="12">
        <f>G32*H32</f>
        <v>0</v>
      </c>
      <c r="J32" s="49"/>
      <c r="K32" s="49">
        <f>G32*J32</f>
        <v>0</v>
      </c>
      <c r="L32" s="1" t="s">
        <v>58</v>
      </c>
    </row>
    <row r="33" spans="1:12" ht="12.75">
      <c r="A33" s="43"/>
      <c r="B33" s="6"/>
      <c r="C33" s="42"/>
      <c r="D33" s="50" t="s">
        <v>104</v>
      </c>
      <c r="E33" s="330"/>
      <c r="F33" s="43"/>
      <c r="G33" s="330"/>
      <c r="H33" s="12"/>
      <c r="I33" s="12"/>
      <c r="J33" s="49"/>
      <c r="K33" s="49"/>
      <c r="L33" s="1"/>
    </row>
    <row r="34" spans="1:12" ht="12.75">
      <c r="A34" s="43"/>
      <c r="B34" s="6"/>
      <c r="C34" s="42"/>
      <c r="D34" s="50" t="s">
        <v>116</v>
      </c>
      <c r="E34" s="330"/>
      <c r="F34" s="43"/>
      <c r="G34" s="330"/>
      <c r="H34" s="12"/>
      <c r="I34" s="12"/>
      <c r="J34" s="49"/>
      <c r="K34" s="49"/>
      <c r="L34" s="1"/>
    </row>
    <row r="35" spans="1:12" ht="12.75">
      <c r="A35" s="43"/>
      <c r="B35" s="6"/>
      <c r="C35" s="42"/>
      <c r="D35" s="51" t="s">
        <v>175</v>
      </c>
      <c r="E35" s="344">
        <v>797.64</v>
      </c>
      <c r="F35" s="43"/>
      <c r="G35" s="330"/>
      <c r="H35" s="12"/>
      <c r="I35" s="12"/>
      <c r="J35" s="49"/>
      <c r="K35" s="49"/>
      <c r="L35" s="1"/>
    </row>
    <row r="36" spans="1:12" ht="12.75">
      <c r="A36" s="43">
        <v>10</v>
      </c>
      <c r="B36" s="6" t="s">
        <v>32</v>
      </c>
      <c r="C36" s="42">
        <v>997221571</v>
      </c>
      <c r="D36" s="6" t="s">
        <v>72</v>
      </c>
      <c r="E36" s="330"/>
      <c r="F36" s="43" t="s">
        <v>14</v>
      </c>
      <c r="G36" s="330">
        <f>E37</f>
        <v>63.81</v>
      </c>
      <c r="H36" s="12"/>
      <c r="I36" s="12">
        <f>G36*H36</f>
        <v>0</v>
      </c>
      <c r="J36" s="49"/>
      <c r="K36" s="49">
        <f>G36*J36</f>
        <v>0</v>
      </c>
      <c r="L36" s="1" t="s">
        <v>58</v>
      </c>
    </row>
    <row r="37" spans="1:12" ht="12.75">
      <c r="A37" s="43"/>
      <c r="B37" s="6"/>
      <c r="C37" s="42"/>
      <c r="D37" s="51" t="s">
        <v>127</v>
      </c>
      <c r="E37" s="344">
        <f>ROUND(0.08*G32,2)</f>
        <v>63.81</v>
      </c>
      <c r="F37" s="43"/>
      <c r="G37" s="330"/>
      <c r="H37" s="12"/>
      <c r="I37" s="12"/>
      <c r="J37" s="49"/>
      <c r="K37" s="49"/>
      <c r="L37" s="1"/>
    </row>
    <row r="38" spans="1:12" ht="12.75">
      <c r="A38" s="43">
        <v>11</v>
      </c>
      <c r="B38" s="6" t="s">
        <v>32</v>
      </c>
      <c r="C38" s="42">
        <v>997221579</v>
      </c>
      <c r="D38" s="6" t="s">
        <v>51</v>
      </c>
      <c r="E38" s="330"/>
      <c r="F38" s="43" t="s">
        <v>14</v>
      </c>
      <c r="G38" s="330">
        <f>E40</f>
        <v>893.34</v>
      </c>
      <c r="H38" s="12"/>
      <c r="I38" s="12">
        <f>G38*H38</f>
        <v>0</v>
      </c>
      <c r="J38" s="49"/>
      <c r="K38" s="49">
        <f>G38*J38</f>
        <v>0</v>
      </c>
      <c r="L38" s="1" t="s">
        <v>58</v>
      </c>
    </row>
    <row r="39" spans="1:12" ht="12.75">
      <c r="A39" s="43"/>
      <c r="B39" s="6"/>
      <c r="C39" s="42"/>
      <c r="D39" s="50" t="s">
        <v>52</v>
      </c>
      <c r="E39" s="330"/>
      <c r="F39" s="43"/>
      <c r="G39" s="330"/>
      <c r="H39" s="12"/>
      <c r="I39" s="12"/>
      <c r="J39" s="49"/>
      <c r="K39" s="49">
        <f>G39*J39</f>
        <v>0</v>
      </c>
      <c r="L39" s="1"/>
    </row>
    <row r="40" spans="1:12" ht="12.75">
      <c r="A40" s="43"/>
      <c r="B40" s="6"/>
      <c r="C40" s="42"/>
      <c r="D40" s="51" t="s">
        <v>809</v>
      </c>
      <c r="E40" s="329">
        <f>(15-1)*G36</f>
        <v>893.34</v>
      </c>
      <c r="F40" s="43"/>
      <c r="G40" s="330"/>
      <c r="H40" s="12"/>
      <c r="I40" s="12"/>
      <c r="J40" s="49"/>
      <c r="K40" s="49"/>
      <c r="L40" s="1"/>
    </row>
    <row r="41" spans="1:12" ht="12.75">
      <c r="A41" s="43">
        <v>12</v>
      </c>
      <c r="B41" s="6" t="s">
        <v>32</v>
      </c>
      <c r="C41" s="42">
        <v>997221855</v>
      </c>
      <c r="D41" s="6" t="s">
        <v>56</v>
      </c>
      <c r="E41" s="330"/>
      <c r="F41" s="43" t="s">
        <v>14</v>
      </c>
      <c r="G41" s="330">
        <f>E42</f>
        <v>63.81</v>
      </c>
      <c r="H41" s="12"/>
      <c r="I41" s="12">
        <f>G41*H41</f>
        <v>0</v>
      </c>
      <c r="J41" s="49"/>
      <c r="K41" s="49">
        <f>G41*J41</f>
        <v>0</v>
      </c>
      <c r="L41" s="1" t="s">
        <v>58</v>
      </c>
    </row>
    <row r="42" spans="1:12" ht="12.75">
      <c r="A42" s="43"/>
      <c r="B42" s="6"/>
      <c r="C42" s="42"/>
      <c r="D42" s="51" t="s">
        <v>176</v>
      </c>
      <c r="E42" s="344">
        <f>G36</f>
        <v>63.81</v>
      </c>
      <c r="F42" s="43"/>
      <c r="G42" s="330"/>
      <c r="H42" s="12"/>
      <c r="I42" s="12"/>
      <c r="J42" s="49"/>
      <c r="K42" s="49"/>
      <c r="L42" s="1"/>
    </row>
    <row r="43" spans="1:12" ht="12.75">
      <c r="A43" s="43">
        <v>13</v>
      </c>
      <c r="B43" s="6" t="s">
        <v>32</v>
      </c>
      <c r="C43" s="42">
        <v>113106122</v>
      </c>
      <c r="D43" s="6" t="s">
        <v>124</v>
      </c>
      <c r="E43" s="330"/>
      <c r="F43" s="43" t="s">
        <v>11</v>
      </c>
      <c r="G43" s="330">
        <f>SUM(E46:E46)</f>
        <v>123.13</v>
      </c>
      <c r="H43" s="12"/>
      <c r="I43" s="12">
        <f>G43*H43</f>
        <v>0</v>
      </c>
      <c r="J43" s="49"/>
      <c r="K43" s="49">
        <f>G43*J43</f>
        <v>0</v>
      </c>
      <c r="L43" s="1" t="s">
        <v>58</v>
      </c>
    </row>
    <row r="44" spans="1:12" ht="12.75">
      <c r="A44" s="43"/>
      <c r="B44" s="6"/>
      <c r="C44" s="42"/>
      <c r="D44" s="50" t="s">
        <v>125</v>
      </c>
      <c r="E44" s="330"/>
      <c r="F44" s="43"/>
      <c r="G44" s="330"/>
      <c r="H44" s="12"/>
      <c r="I44" s="12"/>
      <c r="J44" s="49"/>
      <c r="K44" s="49"/>
      <c r="L44" s="1"/>
    </row>
    <row r="45" spans="1:12" ht="12.75">
      <c r="A45" s="43"/>
      <c r="B45" s="6"/>
      <c r="C45" s="42"/>
      <c r="D45" s="50" t="s">
        <v>126</v>
      </c>
      <c r="E45" s="330"/>
      <c r="F45" s="43"/>
      <c r="G45" s="330"/>
      <c r="H45" s="12"/>
      <c r="I45" s="12"/>
      <c r="J45" s="49"/>
      <c r="K45" s="49"/>
      <c r="L45" s="1"/>
    </row>
    <row r="46" spans="1:12" ht="12.75">
      <c r="A46" s="43"/>
      <c r="B46" s="6"/>
      <c r="C46" s="42"/>
      <c r="D46" s="51" t="s">
        <v>175</v>
      </c>
      <c r="E46" s="344">
        <v>123.13</v>
      </c>
      <c r="F46" s="43"/>
      <c r="G46" s="330"/>
      <c r="H46" s="12"/>
      <c r="I46" s="12"/>
      <c r="J46" s="49"/>
      <c r="K46" s="49"/>
      <c r="L46" s="1"/>
    </row>
    <row r="47" spans="1:12" ht="12.75">
      <c r="A47" s="43">
        <v>14</v>
      </c>
      <c r="B47" s="6" t="s">
        <v>32</v>
      </c>
      <c r="C47" s="42">
        <v>997221571</v>
      </c>
      <c r="D47" s="6" t="s">
        <v>72</v>
      </c>
      <c r="E47" s="330"/>
      <c r="F47" s="43" t="s">
        <v>14</v>
      </c>
      <c r="G47" s="330">
        <f>E48</f>
        <v>28.94</v>
      </c>
      <c r="H47" s="12"/>
      <c r="I47" s="12">
        <f>G47*H47</f>
        <v>0</v>
      </c>
      <c r="J47" s="49"/>
      <c r="K47" s="49">
        <f>G47*J47</f>
        <v>0</v>
      </c>
      <c r="L47" s="1" t="s">
        <v>58</v>
      </c>
    </row>
    <row r="48" spans="1:12" ht="12.75">
      <c r="A48" s="43"/>
      <c r="B48" s="6"/>
      <c r="C48" s="42"/>
      <c r="D48" s="51" t="s">
        <v>128</v>
      </c>
      <c r="E48" s="344">
        <f>ROUND(0.235*G43,2)</f>
        <v>28.94</v>
      </c>
      <c r="F48" s="43"/>
      <c r="G48" s="330"/>
      <c r="H48" s="12"/>
      <c r="I48" s="12"/>
      <c r="J48" s="49"/>
      <c r="K48" s="49"/>
      <c r="L48" s="1"/>
    </row>
    <row r="49" spans="1:12" ht="12.75">
      <c r="A49" s="43">
        <v>15</v>
      </c>
      <c r="B49" s="6" t="s">
        <v>32</v>
      </c>
      <c r="C49" s="42">
        <v>997221579</v>
      </c>
      <c r="D49" s="6" t="s">
        <v>51</v>
      </c>
      <c r="E49" s="330"/>
      <c r="F49" s="43" t="s">
        <v>14</v>
      </c>
      <c r="G49" s="330">
        <f>E51</f>
        <v>405.16</v>
      </c>
      <c r="H49" s="12"/>
      <c r="I49" s="12">
        <f>G49*H49</f>
        <v>0</v>
      </c>
      <c r="J49" s="49"/>
      <c r="K49" s="49">
        <f>G49*J49</f>
        <v>0</v>
      </c>
      <c r="L49" s="1" t="s">
        <v>58</v>
      </c>
    </row>
    <row r="50" spans="1:12" ht="12.75">
      <c r="A50" s="43"/>
      <c r="B50" s="6"/>
      <c r="C50" s="42"/>
      <c r="D50" s="50" t="s">
        <v>52</v>
      </c>
      <c r="E50" s="330"/>
      <c r="F50" s="43"/>
      <c r="G50" s="330"/>
      <c r="H50" s="12"/>
      <c r="I50" s="12"/>
      <c r="J50" s="49"/>
      <c r="K50" s="49">
        <f>G50*J50</f>
        <v>0</v>
      </c>
      <c r="L50" s="1"/>
    </row>
    <row r="51" spans="1:12" ht="12.75">
      <c r="A51" s="43"/>
      <c r="B51" s="6"/>
      <c r="C51" s="42"/>
      <c r="D51" s="51" t="s">
        <v>810</v>
      </c>
      <c r="E51" s="329">
        <f>(15-1)*G47</f>
        <v>405.16</v>
      </c>
      <c r="F51" s="43"/>
      <c r="G51" s="330"/>
      <c r="H51" s="12"/>
      <c r="I51" s="12"/>
      <c r="J51" s="49"/>
      <c r="K51" s="49"/>
      <c r="L51" s="1"/>
    </row>
    <row r="52" spans="1:12" ht="12.75">
      <c r="A52" s="43">
        <v>16</v>
      </c>
      <c r="B52" s="6" t="s">
        <v>32</v>
      </c>
      <c r="C52" s="42">
        <v>997221855</v>
      </c>
      <c r="D52" s="6" t="s">
        <v>56</v>
      </c>
      <c r="E52" s="330"/>
      <c r="F52" s="43" t="s">
        <v>14</v>
      </c>
      <c r="G52" s="330">
        <f>E53</f>
        <v>28.94</v>
      </c>
      <c r="H52" s="12"/>
      <c r="I52" s="12">
        <f>G52*H52</f>
        <v>0</v>
      </c>
      <c r="J52" s="49"/>
      <c r="K52" s="49">
        <f>G52*J52</f>
        <v>0</v>
      </c>
      <c r="L52" s="1" t="s">
        <v>58</v>
      </c>
    </row>
    <row r="53" spans="1:12" ht="12.75">
      <c r="A53" s="43"/>
      <c r="B53" s="6"/>
      <c r="C53" s="42"/>
      <c r="D53" s="51" t="s">
        <v>811</v>
      </c>
      <c r="E53" s="344">
        <f>G47</f>
        <v>28.94</v>
      </c>
      <c r="F53" s="43"/>
      <c r="G53" s="330"/>
      <c r="H53" s="12"/>
      <c r="I53" s="12"/>
      <c r="J53" s="49"/>
      <c r="K53" s="49"/>
      <c r="L53" s="1"/>
    </row>
    <row r="54" spans="1:12" ht="12.75">
      <c r="A54" s="43"/>
      <c r="B54" s="6"/>
      <c r="C54" s="42"/>
      <c r="D54" s="60"/>
      <c r="E54" s="330"/>
      <c r="F54" s="43"/>
      <c r="G54" s="352" t="s">
        <v>19</v>
      </c>
      <c r="H54" s="62"/>
      <c r="I54" s="63">
        <f>SUM(I12:I53)</f>
        <v>0</v>
      </c>
      <c r="J54" s="63"/>
      <c r="K54" s="63">
        <f>SUM(K12:K53)</f>
        <v>1.2415004</v>
      </c>
      <c r="L54" s="63"/>
    </row>
    <row r="55" spans="1:12" s="6" customFormat="1" ht="12.75">
      <c r="A55" s="45" t="s">
        <v>15</v>
      </c>
      <c r="B55" s="45"/>
      <c r="C55" s="16" t="s">
        <v>34</v>
      </c>
      <c r="D55" s="45"/>
      <c r="E55" s="343"/>
      <c r="F55" s="43"/>
      <c r="G55" s="353"/>
      <c r="H55" s="65"/>
      <c r="I55" s="66"/>
      <c r="J55" s="64"/>
      <c r="K55" s="67"/>
      <c r="L55" s="1"/>
    </row>
    <row r="56" spans="1:12" ht="6" customHeight="1">
      <c r="A56" s="47" t="s">
        <v>37</v>
      </c>
      <c r="B56" s="45"/>
      <c r="C56" s="16"/>
      <c r="D56" s="45"/>
      <c r="E56" s="343"/>
      <c r="F56" s="43"/>
      <c r="G56" s="351"/>
      <c r="H56" s="48"/>
      <c r="I56" s="6"/>
      <c r="J56" s="48"/>
      <c r="K56" s="6"/>
      <c r="L56" s="1"/>
    </row>
    <row r="57" spans="1:12" ht="12.75">
      <c r="A57" s="43">
        <v>1</v>
      </c>
      <c r="B57" s="6" t="s">
        <v>32</v>
      </c>
      <c r="C57" s="42">
        <v>596841223</v>
      </c>
      <c r="D57" s="6" t="s">
        <v>117</v>
      </c>
      <c r="E57" s="330"/>
      <c r="F57" s="43" t="s">
        <v>11</v>
      </c>
      <c r="G57" s="330">
        <f>SUM(E59:E61)</f>
        <v>2736.99</v>
      </c>
      <c r="H57" s="12"/>
      <c r="I57" s="12">
        <f>G57*H57</f>
        <v>0</v>
      </c>
      <c r="J57" s="49">
        <v>0.1461</v>
      </c>
      <c r="K57" s="68">
        <f>G57*J57</f>
        <v>399.874239</v>
      </c>
      <c r="L57" s="1" t="s">
        <v>58</v>
      </c>
    </row>
    <row r="58" spans="1:12" ht="12.75">
      <c r="A58" s="55"/>
      <c r="B58" s="50"/>
      <c r="C58" s="54"/>
      <c r="D58" s="50" t="s">
        <v>101</v>
      </c>
      <c r="E58" s="330"/>
      <c r="F58" s="55"/>
      <c r="G58" s="348"/>
      <c r="H58" s="56"/>
      <c r="I58" s="12">
        <f>G58*H58</f>
        <v>0</v>
      </c>
      <c r="J58" s="57"/>
      <c r="K58" s="68">
        <f>G58*J58</f>
        <v>0</v>
      </c>
      <c r="L58" s="68">
        <f>H58*K58</f>
        <v>0</v>
      </c>
    </row>
    <row r="59" spans="1:13" ht="12.75">
      <c r="A59" s="69"/>
      <c r="B59" s="52"/>
      <c r="C59" s="70"/>
      <c r="D59" s="51" t="s">
        <v>177</v>
      </c>
      <c r="E59" s="329">
        <f>2685.96</f>
        <v>2685.96</v>
      </c>
      <c r="F59" s="69"/>
      <c r="G59" s="344"/>
      <c r="H59" s="53"/>
      <c r="I59" s="71"/>
      <c r="J59" s="72"/>
      <c r="K59" s="73"/>
      <c r="L59" s="73"/>
      <c r="M59" s="364"/>
    </row>
    <row r="60" spans="1:15" ht="12.75">
      <c r="A60" s="69"/>
      <c r="B60" s="52"/>
      <c r="C60" s="70"/>
      <c r="D60" s="51" t="s">
        <v>928</v>
      </c>
      <c r="E60" s="329">
        <f>0.4*102.7</f>
        <v>41.080000000000005</v>
      </c>
      <c r="F60" s="69"/>
      <c r="G60" s="344"/>
      <c r="H60" s="53"/>
      <c r="I60" s="71"/>
      <c r="J60" s="72"/>
      <c r="K60" s="73"/>
      <c r="L60" s="73"/>
      <c r="M60" s="363"/>
      <c r="O60" s="363"/>
    </row>
    <row r="61" spans="1:15" ht="12.75">
      <c r="A61" s="69"/>
      <c r="B61" s="52"/>
      <c r="C61" s="70"/>
      <c r="D61" s="51" t="s">
        <v>930</v>
      </c>
      <c r="E61" s="329">
        <f>19.9*2*0.25</f>
        <v>9.95</v>
      </c>
      <c r="F61" s="69"/>
      <c r="G61" s="344"/>
      <c r="H61" s="53"/>
      <c r="I61" s="71"/>
      <c r="J61" s="72"/>
      <c r="K61" s="73"/>
      <c r="L61" s="73"/>
      <c r="M61" s="363"/>
      <c r="O61" s="363"/>
    </row>
    <row r="62" spans="1:12" ht="12.75">
      <c r="A62" s="74">
        <v>2</v>
      </c>
      <c r="B62" s="58" t="s">
        <v>32</v>
      </c>
      <c r="C62" s="18">
        <v>451457777</v>
      </c>
      <c r="D62" s="18" t="s">
        <v>106</v>
      </c>
      <c r="E62" s="345"/>
      <c r="F62" s="43" t="s">
        <v>11</v>
      </c>
      <c r="G62" s="330">
        <f>SUM(E63)</f>
        <v>2685.96</v>
      </c>
      <c r="H62" s="12"/>
      <c r="I62" s="12">
        <f>G62*H62</f>
        <v>0</v>
      </c>
      <c r="J62" s="49">
        <v>0.09454</v>
      </c>
      <c r="K62" s="68">
        <f>G62*J62</f>
        <v>253.9306584</v>
      </c>
      <c r="L62" s="1" t="s">
        <v>58</v>
      </c>
    </row>
    <row r="63" spans="1:12" ht="12.75">
      <c r="A63" s="74"/>
      <c r="B63" s="58"/>
      <c r="C63" s="18"/>
      <c r="D63" s="54" t="s">
        <v>105</v>
      </c>
      <c r="E63" s="329">
        <f>E59</f>
        <v>2685.96</v>
      </c>
      <c r="F63" s="74"/>
      <c r="G63" s="354"/>
      <c r="H63" s="75"/>
      <c r="I63" s="75"/>
      <c r="J63" s="83"/>
      <c r="K63" s="128"/>
      <c r="L63" s="128"/>
    </row>
    <row r="64" spans="1:12" ht="25.5" customHeight="1">
      <c r="A64" s="121">
        <v>3</v>
      </c>
      <c r="B64" s="122" t="s">
        <v>13</v>
      </c>
      <c r="C64" s="127"/>
      <c r="D64" s="408" t="s">
        <v>894</v>
      </c>
      <c r="E64" s="409"/>
      <c r="F64" s="121" t="s">
        <v>11</v>
      </c>
      <c r="G64" s="355">
        <f>SUM(E65:E65)</f>
        <v>2712.8196000000003</v>
      </c>
      <c r="H64" s="123"/>
      <c r="I64" s="123">
        <f>G64*H64</f>
        <v>0</v>
      </c>
      <c r="J64" s="124">
        <v>0.2422</v>
      </c>
      <c r="K64" s="125">
        <f>G64*J64</f>
        <v>657.0449071200001</v>
      </c>
      <c r="L64" s="126" t="s">
        <v>59</v>
      </c>
    </row>
    <row r="65" spans="1:12" ht="12.75">
      <c r="A65" s="69"/>
      <c r="B65" s="52"/>
      <c r="C65" s="70"/>
      <c r="D65" s="51" t="s">
        <v>812</v>
      </c>
      <c r="E65" s="329">
        <f>E59*1.01</f>
        <v>2712.8196000000003</v>
      </c>
      <c r="F65" s="69"/>
      <c r="G65" s="344"/>
      <c r="H65" s="53"/>
      <c r="I65" s="71"/>
      <c r="J65" s="72"/>
      <c r="K65" s="73"/>
      <c r="L65" s="73"/>
    </row>
    <row r="66" spans="1:15" ht="12.75">
      <c r="A66" s="121">
        <v>4</v>
      </c>
      <c r="B66" s="122" t="s">
        <v>13</v>
      </c>
      <c r="C66" s="127"/>
      <c r="D66" s="408" t="s">
        <v>929</v>
      </c>
      <c r="E66" s="409"/>
      <c r="F66" s="121" t="s">
        <v>11</v>
      </c>
      <c r="G66" s="355">
        <f>SUM(E67:E67)</f>
        <v>41.49080000000001</v>
      </c>
      <c r="H66" s="123"/>
      <c r="I66" s="123">
        <f>G66*H66</f>
        <v>0</v>
      </c>
      <c r="J66" s="124">
        <v>0.0655</v>
      </c>
      <c r="K66" s="125">
        <f>G66*J66</f>
        <v>2.7176474000000006</v>
      </c>
      <c r="L66" s="126" t="s">
        <v>59</v>
      </c>
      <c r="O66" s="363"/>
    </row>
    <row r="67" spans="1:12" ht="12.75">
      <c r="A67" s="69"/>
      <c r="B67" s="52"/>
      <c r="C67" s="70"/>
      <c r="D67" s="51" t="s">
        <v>835</v>
      </c>
      <c r="E67" s="329">
        <f>E60*1.01</f>
        <v>41.49080000000001</v>
      </c>
      <c r="F67" s="69"/>
      <c r="G67" s="344"/>
      <c r="H67" s="53"/>
      <c r="I67" s="71"/>
      <c r="J67" s="72"/>
      <c r="K67" s="73"/>
      <c r="L67" s="73"/>
    </row>
    <row r="68" spans="1:12" ht="12.75">
      <c r="A68" s="121">
        <v>5</v>
      </c>
      <c r="B68" s="122" t="s">
        <v>13</v>
      </c>
      <c r="C68" s="127"/>
      <c r="D68" s="408" t="s">
        <v>836</v>
      </c>
      <c r="E68" s="409"/>
      <c r="F68" s="121" t="s">
        <v>11</v>
      </c>
      <c r="G68" s="355">
        <f>SUM(E69:E69)</f>
        <v>10.0495</v>
      </c>
      <c r="H68" s="123"/>
      <c r="I68" s="123">
        <f>G68*H68</f>
        <v>0</v>
      </c>
      <c r="J68" s="124">
        <v>0.2422</v>
      </c>
      <c r="K68" s="125">
        <f>G68*J68</f>
        <v>2.4339889</v>
      </c>
      <c r="L68" s="126" t="s">
        <v>59</v>
      </c>
    </row>
    <row r="69" spans="1:12" ht="12.75">
      <c r="A69" s="69"/>
      <c r="B69" s="52"/>
      <c r="C69" s="70"/>
      <c r="D69" s="51" t="s">
        <v>812</v>
      </c>
      <c r="E69" s="329">
        <f>E61*1.01</f>
        <v>10.0495</v>
      </c>
      <c r="F69" s="69"/>
      <c r="G69" s="344"/>
      <c r="H69" s="53"/>
      <c r="I69" s="71"/>
      <c r="J69" s="72"/>
      <c r="K69" s="73"/>
      <c r="L69" s="73"/>
    </row>
    <row r="70" spans="1:12" ht="12.75">
      <c r="A70" s="43">
        <v>6</v>
      </c>
      <c r="B70" s="6" t="s">
        <v>32</v>
      </c>
      <c r="C70" s="42">
        <v>591241111</v>
      </c>
      <c r="D70" s="6" t="s">
        <v>108</v>
      </c>
      <c r="E70" s="330"/>
      <c r="F70" s="43" t="s">
        <v>11</v>
      </c>
      <c r="G70" s="330">
        <f>SUM(E72)</f>
        <v>1746.3400000000001</v>
      </c>
      <c r="H70" s="12"/>
      <c r="I70" s="12">
        <f>G70*H70</f>
        <v>0</v>
      </c>
      <c r="J70" s="49">
        <v>0.19536</v>
      </c>
      <c r="K70" s="68">
        <f>G70*J70</f>
        <v>341.16498240000004</v>
      </c>
      <c r="L70" s="1" t="s">
        <v>58</v>
      </c>
    </row>
    <row r="71" spans="1:12" ht="12.75">
      <c r="A71" s="55"/>
      <c r="B71" s="50"/>
      <c r="C71" s="54"/>
      <c r="D71" s="50" t="s">
        <v>101</v>
      </c>
      <c r="E71" s="330"/>
      <c r="F71" s="55"/>
      <c r="G71" s="348"/>
      <c r="H71" s="56"/>
      <c r="I71" s="12">
        <f>G71*H71</f>
        <v>0</v>
      </c>
      <c r="J71" s="57"/>
      <c r="K71" s="68">
        <f>G71*J71</f>
        <v>0</v>
      </c>
      <c r="L71" s="68">
        <f>H71*K71</f>
        <v>0</v>
      </c>
    </row>
    <row r="72" spans="1:13" ht="12.75">
      <c r="A72" s="69"/>
      <c r="B72" s="52"/>
      <c r="C72" s="70"/>
      <c r="D72" s="51" t="s">
        <v>180</v>
      </c>
      <c r="E72" s="329">
        <f>1761.46-(16.8*0.9)</f>
        <v>1746.3400000000001</v>
      </c>
      <c r="F72" s="69"/>
      <c r="G72" s="344"/>
      <c r="H72" s="53"/>
      <c r="I72" s="71"/>
      <c r="J72" s="72"/>
      <c r="K72" s="73"/>
      <c r="L72" s="73"/>
      <c r="M72" s="363"/>
    </row>
    <row r="73" spans="1:12" ht="12.75">
      <c r="A73" s="121">
        <v>7</v>
      </c>
      <c r="B73" s="122" t="s">
        <v>13</v>
      </c>
      <c r="C73" s="70"/>
      <c r="D73" s="6" t="s">
        <v>813</v>
      </c>
      <c r="E73" s="329"/>
      <c r="F73" s="121" t="s">
        <v>14</v>
      </c>
      <c r="G73" s="355">
        <f>SUM(E74:E74)</f>
        <v>391.9563111111111</v>
      </c>
      <c r="H73" s="123"/>
      <c r="I73" s="123">
        <f>G73*H73</f>
        <v>0</v>
      </c>
      <c r="J73" s="124">
        <v>1.01</v>
      </c>
      <c r="K73" s="125">
        <f>G73*J73</f>
        <v>395.87587422222225</v>
      </c>
      <c r="L73" s="126" t="s">
        <v>59</v>
      </c>
    </row>
    <row r="74" spans="1:12" ht="12.75">
      <c r="A74" s="69"/>
      <c r="B74" s="52"/>
      <c r="C74" s="70"/>
      <c r="D74" s="51" t="s">
        <v>834</v>
      </c>
      <c r="E74" s="329">
        <f>(E72/4.5)*1.01</f>
        <v>391.9563111111111</v>
      </c>
      <c r="F74" s="69"/>
      <c r="G74" s="344"/>
      <c r="H74" s="53"/>
      <c r="I74" s="71"/>
      <c r="J74" s="72"/>
      <c r="K74" s="73"/>
      <c r="L74" s="73"/>
    </row>
    <row r="75" spans="1:12" ht="12.75">
      <c r="A75" s="43">
        <v>8</v>
      </c>
      <c r="B75" s="6" t="s">
        <v>32</v>
      </c>
      <c r="C75" s="42">
        <v>591441111</v>
      </c>
      <c r="D75" s="6" t="s">
        <v>107</v>
      </c>
      <c r="E75" s="330"/>
      <c r="F75" s="43" t="s">
        <v>11</v>
      </c>
      <c r="G75" s="330">
        <f>SUM(E77)</f>
        <v>332.81</v>
      </c>
      <c r="H75" s="12"/>
      <c r="I75" s="12">
        <f>G75*H75</f>
        <v>0</v>
      </c>
      <c r="J75" s="49">
        <v>0.25081</v>
      </c>
      <c r="K75" s="68">
        <f>G75*J75</f>
        <v>83.4720761</v>
      </c>
      <c r="L75" s="1" t="s">
        <v>58</v>
      </c>
    </row>
    <row r="76" spans="1:12" ht="12.75">
      <c r="A76" s="55"/>
      <c r="B76" s="50"/>
      <c r="C76" s="54"/>
      <c r="D76" s="50" t="s">
        <v>101</v>
      </c>
      <c r="E76" s="330"/>
      <c r="F76" s="55"/>
      <c r="G76" s="348"/>
      <c r="H76" s="56"/>
      <c r="I76" s="12">
        <f>G76*H76</f>
        <v>0</v>
      </c>
      <c r="J76" s="57"/>
      <c r="K76" s="68">
        <f>G76*J76</f>
        <v>0</v>
      </c>
      <c r="L76" s="68">
        <f>H76*K76</f>
        <v>0</v>
      </c>
    </row>
    <row r="77" spans="1:12" ht="12.75">
      <c r="A77" s="69"/>
      <c r="B77" s="52"/>
      <c r="C77" s="70"/>
      <c r="D77" s="51" t="s">
        <v>179</v>
      </c>
      <c r="E77" s="329">
        <v>332.81</v>
      </c>
      <c r="F77" s="69"/>
      <c r="G77" s="344"/>
      <c r="H77" s="53"/>
      <c r="I77" s="71"/>
      <c r="J77" s="72"/>
      <c r="K77" s="73"/>
      <c r="L77" s="73"/>
    </row>
    <row r="78" spans="1:12" ht="12.75">
      <c r="A78" s="121">
        <v>9</v>
      </c>
      <c r="B78" s="122" t="s">
        <v>13</v>
      </c>
      <c r="C78" s="127"/>
      <c r="D78" s="408" t="s">
        <v>111</v>
      </c>
      <c r="E78" s="409"/>
      <c r="F78" s="121" t="s">
        <v>11</v>
      </c>
      <c r="G78" s="355">
        <f>SUM(E79:E79)</f>
        <v>339.4662</v>
      </c>
      <c r="H78" s="123"/>
      <c r="I78" s="123">
        <f>G78*H78</f>
        <v>0</v>
      </c>
      <c r="J78" s="124">
        <v>0.2422</v>
      </c>
      <c r="K78" s="125">
        <f>G78*J78</f>
        <v>82.21871364</v>
      </c>
      <c r="L78" s="126" t="s">
        <v>59</v>
      </c>
    </row>
    <row r="79" spans="1:12" ht="12.75">
      <c r="A79" s="69"/>
      <c r="B79" s="52"/>
      <c r="C79" s="70"/>
      <c r="D79" s="51" t="s">
        <v>178</v>
      </c>
      <c r="E79" s="329">
        <f>G75*1.02</f>
        <v>339.4662</v>
      </c>
      <c r="F79" s="69"/>
      <c r="G79" s="344"/>
      <c r="H79" s="53"/>
      <c r="I79" s="71"/>
      <c r="J79" s="72"/>
      <c r="K79" s="73"/>
      <c r="L79" s="73"/>
    </row>
    <row r="80" spans="1:12" ht="12.75">
      <c r="A80" s="43">
        <v>10</v>
      </c>
      <c r="B80" s="6" t="s">
        <v>32</v>
      </c>
      <c r="C80" s="42">
        <v>591441111</v>
      </c>
      <c r="D80" s="6" t="s">
        <v>107</v>
      </c>
      <c r="E80" s="330"/>
      <c r="F80" s="43" t="s">
        <v>11</v>
      </c>
      <c r="G80" s="330">
        <f>SUM(E82)</f>
        <v>124.48</v>
      </c>
      <c r="H80" s="12"/>
      <c r="I80" s="12">
        <f>G80*H80</f>
        <v>0</v>
      </c>
      <c r="J80" s="49">
        <v>0.25081</v>
      </c>
      <c r="K80" s="68">
        <f>G80*J80</f>
        <v>31.2208288</v>
      </c>
      <c r="L80" s="1" t="s">
        <v>58</v>
      </c>
    </row>
    <row r="81" spans="1:12" ht="12.75">
      <c r="A81" s="55"/>
      <c r="B81" s="50"/>
      <c r="C81" s="54"/>
      <c r="D81" s="50" t="s">
        <v>101</v>
      </c>
      <c r="E81" s="330"/>
      <c r="F81" s="55"/>
      <c r="G81" s="348"/>
      <c r="H81" s="56"/>
      <c r="I81" s="12">
        <f>G81*H81</f>
        <v>0</v>
      </c>
      <c r="J81" s="57"/>
      <c r="K81" s="68">
        <f>G81*J81</f>
        <v>0</v>
      </c>
      <c r="L81" s="68">
        <f>H81*K81</f>
        <v>0</v>
      </c>
    </row>
    <row r="82" spans="1:12" ht="12.75">
      <c r="A82" s="69"/>
      <c r="B82" s="52"/>
      <c r="C82" s="70"/>
      <c r="D82" s="51" t="s">
        <v>815</v>
      </c>
      <c r="E82" s="329">
        <v>124.48</v>
      </c>
      <c r="F82" s="69"/>
      <c r="G82" s="344"/>
      <c r="H82" s="53"/>
      <c r="I82" s="71"/>
      <c r="J82" s="72"/>
      <c r="K82" s="73"/>
      <c r="L82" s="73"/>
    </row>
    <row r="83" spans="1:12" ht="12.75">
      <c r="A83" s="74">
        <v>11</v>
      </c>
      <c r="B83" s="58" t="s">
        <v>32</v>
      </c>
      <c r="C83" s="18">
        <v>451457777</v>
      </c>
      <c r="D83" s="18" t="s">
        <v>106</v>
      </c>
      <c r="E83" s="345"/>
      <c r="F83" s="43" t="s">
        <v>11</v>
      </c>
      <c r="G83" s="330">
        <f>SUM(E84)</f>
        <v>124.48</v>
      </c>
      <c r="H83" s="12"/>
      <c r="I83" s="12">
        <f>G83*H83</f>
        <v>0</v>
      </c>
      <c r="J83" s="49">
        <v>0.09454</v>
      </c>
      <c r="K83" s="68">
        <f>G83*J83</f>
        <v>11.7683392</v>
      </c>
      <c r="L83" s="1" t="s">
        <v>58</v>
      </c>
    </row>
    <row r="84" spans="1:12" ht="12.75">
      <c r="A84" s="74"/>
      <c r="B84" s="58"/>
      <c r="C84" s="18"/>
      <c r="D84" s="54" t="s">
        <v>120</v>
      </c>
      <c r="E84" s="329">
        <f>E82</f>
        <v>124.48</v>
      </c>
      <c r="F84" s="74"/>
      <c r="G84" s="354"/>
      <c r="H84" s="75"/>
      <c r="I84" s="75"/>
      <c r="J84" s="83"/>
      <c r="K84" s="128"/>
      <c r="L84" s="128"/>
    </row>
    <row r="85" spans="1:12" ht="12.75">
      <c r="A85" s="74">
        <v>12</v>
      </c>
      <c r="B85" s="58" t="s">
        <v>32</v>
      </c>
      <c r="C85" s="18">
        <v>451459777</v>
      </c>
      <c r="D85" s="18" t="s">
        <v>121</v>
      </c>
      <c r="E85" s="345"/>
      <c r="F85" s="43" t="s">
        <v>11</v>
      </c>
      <c r="G85" s="330">
        <f>SUM(E86)</f>
        <v>248.96</v>
      </c>
      <c r="H85" s="12"/>
      <c r="I85" s="12">
        <f>G85*H85</f>
        <v>0</v>
      </c>
      <c r="J85" s="49">
        <v>0.02363</v>
      </c>
      <c r="K85" s="68">
        <f>G85*J85</f>
        <v>5.8829248000000005</v>
      </c>
      <c r="L85" s="1" t="s">
        <v>58</v>
      </c>
    </row>
    <row r="86" spans="1:12" ht="12.75">
      <c r="A86" s="74"/>
      <c r="B86" s="58"/>
      <c r="C86" s="18"/>
      <c r="D86" s="54" t="s">
        <v>123</v>
      </c>
      <c r="E86" s="329">
        <f>E84*2</f>
        <v>248.96</v>
      </c>
      <c r="F86" s="74"/>
      <c r="G86" s="354"/>
      <c r="H86" s="75"/>
      <c r="I86" s="75"/>
      <c r="J86" s="83"/>
      <c r="K86" s="128"/>
      <c r="L86" s="128"/>
    </row>
    <row r="87" spans="1:12" ht="12.75">
      <c r="A87" s="121">
        <v>13</v>
      </c>
      <c r="B87" s="122" t="s">
        <v>13</v>
      </c>
      <c r="C87" s="127"/>
      <c r="D87" s="42" t="s">
        <v>814</v>
      </c>
      <c r="E87" s="346"/>
      <c r="F87" s="121" t="s">
        <v>11</v>
      </c>
      <c r="G87" s="355">
        <f>SUM(E88:E88)</f>
        <v>126.9696</v>
      </c>
      <c r="H87" s="123"/>
      <c r="I87" s="12">
        <f>G87*H87</f>
        <v>0</v>
      </c>
      <c r="J87" s="124">
        <v>0.2422</v>
      </c>
      <c r="K87" s="68">
        <f>G87*J87</f>
        <v>30.75203712</v>
      </c>
      <c r="L87" s="126" t="s">
        <v>59</v>
      </c>
    </row>
    <row r="88" spans="1:12" ht="12.75">
      <c r="A88" s="69"/>
      <c r="B88" s="52"/>
      <c r="C88" s="70"/>
      <c r="D88" s="51" t="s">
        <v>178</v>
      </c>
      <c r="E88" s="329">
        <f>G80*1.02</f>
        <v>126.9696</v>
      </c>
      <c r="F88" s="69"/>
      <c r="G88" s="344"/>
      <c r="H88" s="53"/>
      <c r="I88" s="71"/>
      <c r="J88" s="72"/>
      <c r="K88" s="73"/>
      <c r="L88" s="73"/>
    </row>
    <row r="89" spans="1:12" ht="12.75">
      <c r="A89" s="43">
        <v>14</v>
      </c>
      <c r="B89" s="6" t="s">
        <v>32</v>
      </c>
      <c r="C89" s="42">
        <v>591441111</v>
      </c>
      <c r="D89" s="6" t="s">
        <v>107</v>
      </c>
      <c r="E89" s="330"/>
      <c r="F89" s="43" t="s">
        <v>11</v>
      </c>
      <c r="G89" s="330">
        <f>SUM(E91)</f>
        <v>8.4</v>
      </c>
      <c r="H89" s="12"/>
      <c r="I89" s="12">
        <f>G89*H89</f>
        <v>0</v>
      </c>
      <c r="J89" s="49">
        <v>0.25081</v>
      </c>
      <c r="K89" s="68">
        <f>G89*J89</f>
        <v>2.106804</v>
      </c>
      <c r="L89" s="1" t="s">
        <v>58</v>
      </c>
    </row>
    <row r="90" spans="1:12" ht="12.75">
      <c r="A90" s="55"/>
      <c r="B90" s="50"/>
      <c r="C90" s="54"/>
      <c r="D90" s="50" t="s">
        <v>101</v>
      </c>
      <c r="E90" s="330"/>
      <c r="F90" s="55"/>
      <c r="G90" s="348"/>
      <c r="H90" s="56"/>
      <c r="I90" s="12">
        <f>G90*H90</f>
        <v>0</v>
      </c>
      <c r="J90" s="57"/>
      <c r="K90" s="68">
        <f>G90*J90</f>
        <v>0</v>
      </c>
      <c r="L90" s="68">
        <f>H90*K90</f>
        <v>0</v>
      </c>
    </row>
    <row r="91" spans="1:12" ht="12.75">
      <c r="A91" s="69"/>
      <c r="B91" s="52"/>
      <c r="C91" s="70"/>
      <c r="D91" s="51" t="s">
        <v>180</v>
      </c>
      <c r="E91" s="329">
        <v>8.4</v>
      </c>
      <c r="F91" s="69"/>
      <c r="G91" s="344"/>
      <c r="H91" s="53"/>
      <c r="I91" s="71"/>
      <c r="J91" s="72"/>
      <c r="K91" s="73"/>
      <c r="L91" s="73"/>
    </row>
    <row r="92" spans="1:12" ht="12.75">
      <c r="A92" s="74">
        <v>15</v>
      </c>
      <c r="B92" s="58" t="s">
        <v>32</v>
      </c>
      <c r="C92" s="18">
        <v>451457777</v>
      </c>
      <c r="D92" s="18" t="s">
        <v>106</v>
      </c>
      <c r="E92" s="345"/>
      <c r="F92" s="43" t="s">
        <v>11</v>
      </c>
      <c r="G92" s="330">
        <f>SUM(E93)</f>
        <v>8.4</v>
      </c>
      <c r="H92" s="12"/>
      <c r="I92" s="12">
        <f>G92*H92</f>
        <v>0</v>
      </c>
      <c r="J92" s="49">
        <v>0.09454</v>
      </c>
      <c r="K92" s="68">
        <f>G92*J92</f>
        <v>0.7941360000000001</v>
      </c>
      <c r="L92" s="1" t="s">
        <v>58</v>
      </c>
    </row>
    <row r="93" spans="1:12" ht="12.75">
      <c r="A93" s="74"/>
      <c r="B93" s="58"/>
      <c r="C93" s="18"/>
      <c r="D93" s="54" t="s">
        <v>120</v>
      </c>
      <c r="E93" s="329">
        <f>E91</f>
        <v>8.4</v>
      </c>
      <c r="F93" s="74"/>
      <c r="G93" s="354"/>
      <c r="H93" s="75"/>
      <c r="I93" s="75"/>
      <c r="J93" s="83"/>
      <c r="K93" s="128"/>
      <c r="L93" s="128"/>
    </row>
    <row r="94" spans="1:12" ht="12.75">
      <c r="A94" s="74">
        <v>16</v>
      </c>
      <c r="B94" s="58" t="s">
        <v>32</v>
      </c>
      <c r="C94" s="18">
        <v>451459777</v>
      </c>
      <c r="D94" s="18" t="s">
        <v>121</v>
      </c>
      <c r="E94" s="345"/>
      <c r="F94" s="43" t="s">
        <v>11</v>
      </c>
      <c r="G94" s="330">
        <f>SUM(E95)</f>
        <v>42</v>
      </c>
      <c r="H94" s="12"/>
      <c r="I94" s="12">
        <f>G94*H94</f>
        <v>0</v>
      </c>
      <c r="J94" s="49">
        <v>0.02363</v>
      </c>
      <c r="K94" s="68">
        <f>G94*J94</f>
        <v>0.9924600000000001</v>
      </c>
      <c r="L94" s="1" t="s">
        <v>58</v>
      </c>
    </row>
    <row r="95" spans="1:12" ht="12.75">
      <c r="A95" s="74"/>
      <c r="B95" s="58"/>
      <c r="C95" s="18"/>
      <c r="D95" s="54" t="s">
        <v>122</v>
      </c>
      <c r="E95" s="329">
        <f>E93*5</f>
        <v>42</v>
      </c>
      <c r="F95" s="74"/>
      <c r="G95" s="354"/>
      <c r="H95" s="75"/>
      <c r="I95" s="12">
        <f>G95*H95</f>
        <v>0</v>
      </c>
      <c r="J95" s="83"/>
      <c r="K95" s="68">
        <f>G95*J95</f>
        <v>0</v>
      </c>
      <c r="L95" s="128"/>
    </row>
    <row r="96" spans="1:12" ht="12.75">
      <c r="A96" s="121">
        <v>17</v>
      </c>
      <c r="B96" s="122" t="s">
        <v>13</v>
      </c>
      <c r="C96" s="127"/>
      <c r="D96" s="42" t="s">
        <v>814</v>
      </c>
      <c r="E96" s="346"/>
      <c r="F96" s="121" t="s">
        <v>11</v>
      </c>
      <c r="G96" s="355">
        <f>SUM(E97:E97)</f>
        <v>8.568000000000001</v>
      </c>
      <c r="H96" s="123"/>
      <c r="I96" s="12">
        <f>G96*H96</f>
        <v>0</v>
      </c>
      <c r="J96" s="124">
        <v>0.2422</v>
      </c>
      <c r="K96" s="68">
        <f>G96*J96</f>
        <v>2.0751696</v>
      </c>
      <c r="L96" s="126" t="s">
        <v>59</v>
      </c>
    </row>
    <row r="97" spans="1:12" ht="12.75">
      <c r="A97" s="69"/>
      <c r="B97" s="52"/>
      <c r="C97" s="70"/>
      <c r="D97" s="51" t="s">
        <v>178</v>
      </c>
      <c r="E97" s="329">
        <f>G89*1.02</f>
        <v>8.568000000000001</v>
      </c>
      <c r="F97" s="69"/>
      <c r="G97" s="344"/>
      <c r="H97" s="53"/>
      <c r="I97" s="71"/>
      <c r="J97" s="72"/>
      <c r="K97" s="73"/>
      <c r="L97" s="73"/>
    </row>
    <row r="98" spans="1:12" ht="12.75">
      <c r="A98" s="43">
        <v>18</v>
      </c>
      <c r="B98" s="6" t="s">
        <v>32</v>
      </c>
      <c r="C98" s="42">
        <v>591241111</v>
      </c>
      <c r="D98" s="6" t="s">
        <v>108</v>
      </c>
      <c r="E98" s="330"/>
      <c r="F98" s="43" t="s">
        <v>11</v>
      </c>
      <c r="G98" s="330">
        <f>SUM(E100)</f>
        <v>140.27</v>
      </c>
      <c r="H98" s="12"/>
      <c r="I98" s="12">
        <f>G98*H98</f>
        <v>0</v>
      </c>
      <c r="J98" s="49">
        <v>0.19536</v>
      </c>
      <c r="K98" s="68">
        <f>G98*J98</f>
        <v>27.403147200000003</v>
      </c>
      <c r="L98" s="1" t="s">
        <v>58</v>
      </c>
    </row>
    <row r="99" spans="1:12" ht="12.75">
      <c r="A99" s="55"/>
      <c r="B99" s="50"/>
      <c r="C99" s="54"/>
      <c r="D99" s="50" t="s">
        <v>101</v>
      </c>
      <c r="E99" s="330"/>
      <c r="F99" s="55"/>
      <c r="G99" s="348"/>
      <c r="H99" s="56"/>
      <c r="I99" s="12">
        <f>G99*H99</f>
        <v>0</v>
      </c>
      <c r="J99" s="57"/>
      <c r="K99" s="68">
        <f>G99*J99</f>
        <v>0</v>
      </c>
      <c r="L99" s="68">
        <f>H99*K99</f>
        <v>0</v>
      </c>
    </row>
    <row r="100" spans="1:13" ht="12.75">
      <c r="A100" s="69"/>
      <c r="B100" s="52"/>
      <c r="C100" s="70"/>
      <c r="D100" s="51" t="s">
        <v>816</v>
      </c>
      <c r="E100" s="329">
        <f>146.3-6.03</f>
        <v>140.27</v>
      </c>
      <c r="F100" s="69"/>
      <c r="G100" s="344"/>
      <c r="H100" s="53"/>
      <c r="I100" s="71"/>
      <c r="J100" s="72"/>
      <c r="K100" s="73"/>
      <c r="L100" s="73"/>
      <c r="M100" s="363"/>
    </row>
    <row r="101" spans="1:12" ht="12.75">
      <c r="A101" s="121">
        <v>19</v>
      </c>
      <c r="B101" s="122" t="s">
        <v>32</v>
      </c>
      <c r="C101" s="127">
        <v>979071121</v>
      </c>
      <c r="D101" s="408" t="s">
        <v>109</v>
      </c>
      <c r="E101" s="409"/>
      <c r="F101" s="121" t="s">
        <v>11</v>
      </c>
      <c r="G101" s="355">
        <f>G98</f>
        <v>140.27</v>
      </c>
      <c r="H101" s="123"/>
      <c r="I101" s="123">
        <f>G101*H101</f>
        <v>0</v>
      </c>
      <c r="J101" s="124"/>
      <c r="K101" s="125">
        <f>G101*J101</f>
        <v>0</v>
      </c>
      <c r="L101" s="1" t="s">
        <v>58</v>
      </c>
    </row>
    <row r="102" spans="1:12" ht="12.75">
      <c r="A102" s="69"/>
      <c r="B102" s="52"/>
      <c r="C102" s="70"/>
      <c r="D102" s="54" t="s">
        <v>110</v>
      </c>
      <c r="E102" s="329"/>
      <c r="F102" s="69"/>
      <c r="G102" s="344"/>
      <c r="H102" s="53"/>
      <c r="I102" s="71"/>
      <c r="J102" s="72"/>
      <c r="K102" s="73"/>
      <c r="L102" s="73"/>
    </row>
    <row r="103" spans="1:12" ht="12.75">
      <c r="A103" s="43">
        <v>20</v>
      </c>
      <c r="B103" s="6" t="s">
        <v>32</v>
      </c>
      <c r="C103" s="42">
        <v>591441111</v>
      </c>
      <c r="D103" s="6" t="s">
        <v>107</v>
      </c>
      <c r="E103" s="330"/>
      <c r="F103" s="43" t="s">
        <v>11</v>
      </c>
      <c r="G103" s="330">
        <f>SUM(E105)</f>
        <v>22.21</v>
      </c>
      <c r="H103" s="12"/>
      <c r="I103" s="12">
        <f>G103*H103</f>
        <v>0</v>
      </c>
      <c r="J103" s="49">
        <v>0.25081</v>
      </c>
      <c r="K103" s="68">
        <f>G103*J103</f>
        <v>5.5704901</v>
      </c>
      <c r="L103" s="1" t="s">
        <v>58</v>
      </c>
    </row>
    <row r="104" spans="1:12" ht="12.75">
      <c r="A104" s="55"/>
      <c r="B104" s="50"/>
      <c r="C104" s="54"/>
      <c r="D104" s="50" t="s">
        <v>101</v>
      </c>
      <c r="E104" s="330"/>
      <c r="F104" s="55"/>
      <c r="G104" s="348"/>
      <c r="H104" s="56"/>
      <c r="I104" s="12">
        <f>G104*H104</f>
        <v>0</v>
      </c>
      <c r="J104" s="57"/>
      <c r="K104" s="68">
        <f>G104*J104</f>
        <v>0</v>
      </c>
      <c r="L104" s="68">
        <f>H104*K104</f>
        <v>0</v>
      </c>
    </row>
    <row r="105" spans="1:15" ht="12.75">
      <c r="A105" s="69"/>
      <c r="B105" s="52"/>
      <c r="C105" s="70"/>
      <c r="D105" s="51" t="s">
        <v>910</v>
      </c>
      <c r="E105" s="329">
        <v>22.21</v>
      </c>
      <c r="F105" s="69"/>
      <c r="G105" s="344"/>
      <c r="H105" s="53"/>
      <c r="I105" s="71"/>
      <c r="J105" s="72"/>
      <c r="K105" s="73"/>
      <c r="L105" s="73"/>
      <c r="M105" s="363"/>
      <c r="O105" s="363"/>
    </row>
    <row r="106" spans="1:12" ht="12.75">
      <c r="A106" s="74">
        <v>21</v>
      </c>
      <c r="B106" s="58" t="s">
        <v>32</v>
      </c>
      <c r="C106" s="18">
        <v>451457777</v>
      </c>
      <c r="D106" s="18" t="s">
        <v>106</v>
      </c>
      <c r="E106" s="345"/>
      <c r="F106" s="43" t="s">
        <v>11</v>
      </c>
      <c r="G106" s="330">
        <f>SUM(E107)</f>
        <v>22.21</v>
      </c>
      <c r="H106" s="12"/>
      <c r="I106" s="12">
        <f>G106*H106</f>
        <v>0</v>
      </c>
      <c r="J106" s="49">
        <v>0.09454</v>
      </c>
      <c r="K106" s="68">
        <f>G106*J106</f>
        <v>2.0997334</v>
      </c>
      <c r="L106" s="1" t="s">
        <v>58</v>
      </c>
    </row>
    <row r="107" spans="1:12" ht="12.75">
      <c r="A107" s="74"/>
      <c r="B107" s="58"/>
      <c r="C107" s="18"/>
      <c r="D107" s="54" t="s">
        <v>120</v>
      </c>
      <c r="E107" s="329">
        <f>E105</f>
        <v>22.21</v>
      </c>
      <c r="F107" s="74"/>
      <c r="G107" s="354"/>
      <c r="H107" s="75"/>
      <c r="I107" s="75"/>
      <c r="J107" s="83"/>
      <c r="K107" s="128"/>
      <c r="L107" s="128"/>
    </row>
    <row r="108" spans="1:12" ht="12.75">
      <c r="A108" s="121">
        <v>22</v>
      </c>
      <c r="B108" s="122" t="s">
        <v>13</v>
      </c>
      <c r="C108" s="127"/>
      <c r="D108" s="42" t="s">
        <v>829</v>
      </c>
      <c r="E108" s="346"/>
      <c r="F108" s="121" t="s">
        <v>11</v>
      </c>
      <c r="G108" s="355">
        <f>SUM(E109:E109)</f>
        <v>22.654200000000003</v>
      </c>
      <c r="H108" s="123"/>
      <c r="I108" s="12">
        <f>G108*H108</f>
        <v>0</v>
      </c>
      <c r="J108" s="124">
        <v>0.2422</v>
      </c>
      <c r="K108" s="68">
        <f>G108*J108</f>
        <v>5.48684724</v>
      </c>
      <c r="L108" s="126" t="s">
        <v>59</v>
      </c>
    </row>
    <row r="109" spans="1:12" ht="12.75">
      <c r="A109" s="69"/>
      <c r="B109" s="52"/>
      <c r="C109" s="70"/>
      <c r="D109" s="51" t="s">
        <v>178</v>
      </c>
      <c r="E109" s="329">
        <f>G103*1.02</f>
        <v>22.654200000000003</v>
      </c>
      <c r="F109" s="69"/>
      <c r="G109" s="344"/>
      <c r="H109" s="53"/>
      <c r="I109" s="71"/>
      <c r="J109" s="72"/>
      <c r="K109" s="73"/>
      <c r="L109" s="73"/>
    </row>
    <row r="110" spans="1:12" ht="12.75">
      <c r="A110" s="43">
        <v>23</v>
      </c>
      <c r="B110" s="6" t="s">
        <v>32</v>
      </c>
      <c r="C110" s="42">
        <v>591141111</v>
      </c>
      <c r="D110" s="6" t="s">
        <v>108</v>
      </c>
      <c r="E110" s="330"/>
      <c r="F110" s="43" t="s">
        <v>11</v>
      </c>
      <c r="G110" s="330">
        <f>SUM(E112:E113)</f>
        <v>18.85</v>
      </c>
      <c r="H110" s="12"/>
      <c r="I110" s="12">
        <f>G110*H110</f>
        <v>0</v>
      </c>
      <c r="J110" s="49">
        <v>0.19536</v>
      </c>
      <c r="K110" s="68">
        <f>G110*J110</f>
        <v>3.6825360000000003</v>
      </c>
      <c r="L110" s="1" t="s">
        <v>58</v>
      </c>
    </row>
    <row r="111" spans="1:12" ht="12.75">
      <c r="A111" s="55"/>
      <c r="B111" s="50"/>
      <c r="C111" s="54"/>
      <c r="D111" s="50" t="s">
        <v>101</v>
      </c>
      <c r="E111" s="330"/>
      <c r="F111" s="55"/>
      <c r="G111" s="348"/>
      <c r="H111" s="56"/>
      <c r="I111" s="12">
        <f>G111*H111</f>
        <v>0</v>
      </c>
      <c r="J111" s="57"/>
      <c r="K111" s="68">
        <f>G111*J111</f>
        <v>0</v>
      </c>
      <c r="L111" s="68">
        <f>H111*K111</f>
        <v>0</v>
      </c>
    </row>
    <row r="112" spans="1:12" ht="12.75">
      <c r="A112" s="69"/>
      <c r="B112" s="52"/>
      <c r="C112" s="70"/>
      <c r="D112" s="51" t="s">
        <v>830</v>
      </c>
      <c r="E112" s="329">
        <v>15.31</v>
      </c>
      <c r="F112" s="69"/>
      <c r="G112" s="344"/>
      <c r="H112" s="53"/>
      <c r="I112" s="71"/>
      <c r="J112" s="72"/>
      <c r="K112" s="73"/>
      <c r="L112" s="73"/>
    </row>
    <row r="113" spans="1:12" ht="12.75">
      <c r="A113" s="69"/>
      <c r="B113" s="52"/>
      <c r="C113" s="70"/>
      <c r="D113" s="51" t="s">
        <v>831</v>
      </c>
      <c r="E113" s="329">
        <v>3.54</v>
      </c>
      <c r="F113" s="69"/>
      <c r="G113" s="344"/>
      <c r="H113" s="53"/>
      <c r="I113" s="71"/>
      <c r="J113" s="72"/>
      <c r="K113" s="73"/>
      <c r="L113" s="73"/>
    </row>
    <row r="114" spans="1:12" ht="12.75">
      <c r="A114" s="121">
        <v>24</v>
      </c>
      <c r="B114" s="122" t="s">
        <v>13</v>
      </c>
      <c r="C114" s="70"/>
      <c r="D114" s="6" t="s">
        <v>832</v>
      </c>
      <c r="E114" s="329"/>
      <c r="F114" s="121" t="s">
        <v>14</v>
      </c>
      <c r="G114" s="355">
        <f>SUM(E115:E115)</f>
        <v>5.154366666666667</v>
      </c>
      <c r="H114" s="123"/>
      <c r="I114" s="123">
        <f>G114*H114</f>
        <v>0</v>
      </c>
      <c r="J114" s="124">
        <v>1.01</v>
      </c>
      <c r="K114" s="125">
        <f>G114*J114</f>
        <v>5.205910333333334</v>
      </c>
      <c r="L114" s="126" t="s">
        <v>59</v>
      </c>
    </row>
    <row r="115" spans="1:12" ht="12.75">
      <c r="A115" s="69"/>
      <c r="B115" s="52"/>
      <c r="C115" s="70"/>
      <c r="D115" s="51" t="s">
        <v>834</v>
      </c>
      <c r="E115" s="329">
        <f>(E112/3)*1.01</f>
        <v>5.154366666666667</v>
      </c>
      <c r="F115" s="69"/>
      <c r="G115" s="344"/>
      <c r="H115" s="53"/>
      <c r="I115" s="71"/>
      <c r="J115" s="72"/>
      <c r="K115" s="73"/>
      <c r="L115" s="73"/>
    </row>
    <row r="116" spans="1:12" ht="12.75">
      <c r="A116" s="121">
        <v>25</v>
      </c>
      <c r="B116" s="122" t="s">
        <v>13</v>
      </c>
      <c r="C116" s="70"/>
      <c r="D116" s="6" t="s">
        <v>833</v>
      </c>
      <c r="E116" s="329"/>
      <c r="F116" s="121" t="s">
        <v>14</v>
      </c>
      <c r="G116" s="355">
        <f>SUM(E117:E117)</f>
        <v>1.2769285714285716</v>
      </c>
      <c r="H116" s="123"/>
      <c r="I116" s="123">
        <f>G116*H116</f>
        <v>0</v>
      </c>
      <c r="J116" s="124">
        <v>1.01</v>
      </c>
      <c r="K116" s="125">
        <f>G116*J116</f>
        <v>1.2896978571428575</v>
      </c>
      <c r="L116" s="126" t="s">
        <v>59</v>
      </c>
    </row>
    <row r="117" spans="1:12" ht="12.75">
      <c r="A117" s="69"/>
      <c r="B117" s="52"/>
      <c r="C117" s="70"/>
      <c r="D117" s="51" t="s">
        <v>834</v>
      </c>
      <c r="E117" s="329">
        <f>(E113/2.8)*1.01</f>
        <v>1.2769285714285716</v>
      </c>
      <c r="F117" s="69"/>
      <c r="G117" s="344"/>
      <c r="H117" s="53"/>
      <c r="I117" s="71"/>
      <c r="J117" s="72"/>
      <c r="K117" s="73"/>
      <c r="L117" s="73"/>
    </row>
    <row r="118" spans="1:12" ht="12.75">
      <c r="A118" s="43">
        <v>26</v>
      </c>
      <c r="B118" s="6" t="s">
        <v>32</v>
      </c>
      <c r="C118" s="42">
        <v>591141111</v>
      </c>
      <c r="D118" s="6" t="s">
        <v>132</v>
      </c>
      <c r="E118" s="330"/>
      <c r="F118" s="43" t="s">
        <v>11</v>
      </c>
      <c r="G118" s="330">
        <f>SUM(E120)</f>
        <v>46.08</v>
      </c>
      <c r="H118" s="12"/>
      <c r="I118" s="12">
        <f>G118*H118</f>
        <v>0</v>
      </c>
      <c r="J118" s="49">
        <v>0.19536</v>
      </c>
      <c r="K118" s="68">
        <f>G118*J118</f>
        <v>9.0021888</v>
      </c>
      <c r="L118" s="1" t="s">
        <v>58</v>
      </c>
    </row>
    <row r="119" spans="1:12" ht="12.75">
      <c r="A119" s="55"/>
      <c r="B119" s="50"/>
      <c r="C119" s="54"/>
      <c r="D119" s="50" t="s">
        <v>101</v>
      </c>
      <c r="E119" s="330"/>
      <c r="F119" s="55"/>
      <c r="G119" s="348"/>
      <c r="H119" s="56"/>
      <c r="I119" s="12">
        <f>G119*H119</f>
        <v>0</v>
      </c>
      <c r="J119" s="57"/>
      <c r="K119" s="68">
        <f>G119*J119</f>
        <v>0</v>
      </c>
      <c r="L119" s="68">
        <f>H119*K119</f>
        <v>0</v>
      </c>
    </row>
    <row r="120" spans="1:12" ht="12.75">
      <c r="A120" s="69"/>
      <c r="B120" s="52"/>
      <c r="C120" s="70"/>
      <c r="D120" s="51" t="s">
        <v>133</v>
      </c>
      <c r="E120" s="329">
        <v>46.08</v>
      </c>
      <c r="F120" s="69"/>
      <c r="G120" s="344"/>
      <c r="H120" s="53"/>
      <c r="I120" s="71"/>
      <c r="J120" s="72"/>
      <c r="K120" s="73"/>
      <c r="L120" s="73"/>
    </row>
    <row r="121" spans="1:14" ht="12.75">
      <c r="A121" s="121">
        <v>27</v>
      </c>
      <c r="B121" s="122" t="s">
        <v>13</v>
      </c>
      <c r="C121" s="127"/>
      <c r="D121" s="408" t="s">
        <v>143</v>
      </c>
      <c r="E121" s="409"/>
      <c r="F121" s="121" t="s">
        <v>11</v>
      </c>
      <c r="G121" s="355">
        <f>SUM(E122:E122)</f>
        <v>47.001599999999996</v>
      </c>
      <c r="H121" s="123"/>
      <c r="I121" s="123">
        <f>G121*H121</f>
        <v>0</v>
      </c>
      <c r="J121" s="124">
        <v>0.655</v>
      </c>
      <c r="K121" s="125">
        <f>G121*J121</f>
        <v>30.786047999999997</v>
      </c>
      <c r="L121" s="126" t="s">
        <v>59</v>
      </c>
      <c r="N121" s="32"/>
    </row>
    <row r="122" spans="1:12" ht="12.75">
      <c r="A122" s="69"/>
      <c r="B122" s="52"/>
      <c r="C122" s="70"/>
      <c r="D122" s="51" t="s">
        <v>66</v>
      </c>
      <c r="E122" s="329">
        <f>G118*1.02</f>
        <v>47.001599999999996</v>
      </c>
      <c r="F122" s="69"/>
      <c r="G122" s="344"/>
      <c r="H122" s="53"/>
      <c r="I122" s="71"/>
      <c r="J122" s="72"/>
      <c r="K122" s="73"/>
      <c r="L122" s="73"/>
    </row>
    <row r="123" spans="1:12" ht="12.75">
      <c r="A123" s="121">
        <v>28</v>
      </c>
      <c r="B123" s="122"/>
      <c r="C123" s="127"/>
      <c r="D123" s="408" t="s">
        <v>134</v>
      </c>
      <c r="E123" s="409"/>
      <c r="F123" s="121" t="s">
        <v>12</v>
      </c>
      <c r="G123" s="355">
        <v>15.4</v>
      </c>
      <c r="H123" s="123"/>
      <c r="I123" s="123">
        <f>G123*H123</f>
        <v>0</v>
      </c>
      <c r="J123" s="124">
        <v>0.0565</v>
      </c>
      <c r="K123" s="125">
        <f>G123*J123</f>
        <v>0.8701000000000001</v>
      </c>
      <c r="L123" s="126" t="s">
        <v>59</v>
      </c>
    </row>
    <row r="124" spans="1:12" ht="12.75">
      <c r="A124" s="69"/>
      <c r="B124" s="52"/>
      <c r="C124" s="70"/>
      <c r="D124" s="70" t="s">
        <v>135</v>
      </c>
      <c r="E124" s="329"/>
      <c r="F124" s="69"/>
      <c r="G124" s="344"/>
      <c r="H124" s="53"/>
      <c r="I124" s="71"/>
      <c r="J124" s="72"/>
      <c r="K124" s="73"/>
      <c r="L124" s="73"/>
    </row>
    <row r="125" spans="1:12" ht="12.75">
      <c r="A125" s="6"/>
      <c r="B125" s="6"/>
      <c r="C125" s="42"/>
      <c r="D125" s="6"/>
      <c r="E125" s="330"/>
      <c r="F125" s="6"/>
      <c r="G125" s="352" t="s">
        <v>19</v>
      </c>
      <c r="H125" s="62"/>
      <c r="I125" s="63">
        <f>SUM(I57:I124)</f>
        <v>0</v>
      </c>
      <c r="J125" s="76"/>
      <c r="K125" s="63">
        <f>SUM(K57:K124)</f>
        <v>2395.722485632698</v>
      </c>
      <c r="L125" s="77"/>
    </row>
    <row r="126" spans="1:12" ht="12.75">
      <c r="A126" s="45" t="s">
        <v>15</v>
      </c>
      <c r="B126" s="45"/>
      <c r="C126" s="16" t="s">
        <v>49</v>
      </c>
      <c r="D126" s="45"/>
      <c r="E126" s="343"/>
      <c r="F126" s="6"/>
      <c r="G126" s="330"/>
      <c r="H126" s="6"/>
      <c r="I126" s="6"/>
      <c r="J126" s="6"/>
      <c r="K126" s="6"/>
      <c r="L126" s="78"/>
    </row>
    <row r="127" spans="1:12" ht="6" customHeight="1">
      <c r="A127" s="47" t="s">
        <v>37</v>
      </c>
      <c r="B127" s="45"/>
      <c r="C127" s="16"/>
      <c r="D127" s="45"/>
      <c r="E127" s="343"/>
      <c r="F127" s="6"/>
      <c r="G127" s="330"/>
      <c r="H127" s="6"/>
      <c r="I127" s="6"/>
      <c r="J127" s="6"/>
      <c r="K127" s="6"/>
      <c r="L127" s="78"/>
    </row>
    <row r="128" spans="1:12" ht="12.75">
      <c r="A128" s="82">
        <v>1</v>
      </c>
      <c r="B128" s="6" t="s">
        <v>53</v>
      </c>
      <c r="C128" s="81" t="s">
        <v>43</v>
      </c>
      <c r="D128" s="118" t="s">
        <v>172</v>
      </c>
      <c r="E128" s="344"/>
      <c r="F128" s="43" t="s">
        <v>23</v>
      </c>
      <c r="G128" s="330">
        <v>29</v>
      </c>
      <c r="H128" s="12"/>
      <c r="I128" s="12">
        <f>G128*H128</f>
        <v>0</v>
      </c>
      <c r="J128" s="49">
        <v>0.72</v>
      </c>
      <c r="K128" s="68">
        <f>G128*J128</f>
        <v>20.88</v>
      </c>
      <c r="L128" s="1" t="s">
        <v>59</v>
      </c>
    </row>
    <row r="129" spans="1:12" ht="12.75">
      <c r="A129" s="82"/>
      <c r="B129" s="6"/>
      <c r="C129" s="81"/>
      <c r="D129" s="54" t="s">
        <v>102</v>
      </c>
      <c r="E129" s="344"/>
      <c r="F129" s="43"/>
      <c r="G129" s="330"/>
      <c r="H129" s="12"/>
      <c r="I129" s="12">
        <f>G129*H129</f>
        <v>0</v>
      </c>
      <c r="J129" s="49"/>
      <c r="K129" s="68">
        <f>G129*J129</f>
        <v>0</v>
      </c>
      <c r="L129" s="1"/>
    </row>
    <row r="130" spans="1:12" ht="12.75">
      <c r="A130" s="82">
        <v>2</v>
      </c>
      <c r="B130" s="6" t="s">
        <v>53</v>
      </c>
      <c r="C130" s="81" t="s">
        <v>43</v>
      </c>
      <c r="D130" s="18" t="s">
        <v>129</v>
      </c>
      <c r="E130" s="344"/>
      <c r="F130" s="43" t="s">
        <v>12</v>
      </c>
      <c r="G130" s="330">
        <v>53.24</v>
      </c>
      <c r="H130" s="12"/>
      <c r="I130" s="12">
        <f>G130*H130</f>
        <v>0</v>
      </c>
      <c r="J130" s="49">
        <v>1.805</v>
      </c>
      <c r="K130" s="68">
        <f>G130*J130</f>
        <v>96.0982</v>
      </c>
      <c r="L130" s="1" t="s">
        <v>59</v>
      </c>
    </row>
    <row r="131" spans="1:12" ht="12.75">
      <c r="A131" s="82"/>
      <c r="B131" s="6"/>
      <c r="C131" s="81"/>
      <c r="D131" s="54" t="s">
        <v>130</v>
      </c>
      <c r="E131" s="344"/>
      <c r="F131" s="43"/>
      <c r="G131" s="330"/>
      <c r="H131" s="12"/>
      <c r="I131" s="12"/>
      <c r="J131" s="49"/>
      <c r="K131" s="68"/>
      <c r="L131" s="78"/>
    </row>
    <row r="132" spans="1:12" ht="12.75">
      <c r="A132" s="82">
        <v>3</v>
      </c>
      <c r="B132" s="80" t="s">
        <v>32</v>
      </c>
      <c r="C132" s="81">
        <v>899431111</v>
      </c>
      <c r="D132" s="118" t="s">
        <v>68</v>
      </c>
      <c r="E132" s="347"/>
      <c r="F132" s="79" t="s">
        <v>23</v>
      </c>
      <c r="G132" s="356">
        <f>SUM(E134:E135)</f>
        <v>50</v>
      </c>
      <c r="H132" s="119"/>
      <c r="I132" s="12">
        <f>G132*H132</f>
        <v>0</v>
      </c>
      <c r="J132" s="117">
        <v>0.31108</v>
      </c>
      <c r="K132" s="68">
        <f>G132*J132</f>
        <v>15.554000000000002</v>
      </c>
      <c r="L132" s="1" t="s">
        <v>58</v>
      </c>
    </row>
    <row r="133" spans="1:12" ht="12.75">
      <c r="A133" s="82"/>
      <c r="B133" s="6"/>
      <c r="C133" s="81"/>
      <c r="D133" s="50" t="s">
        <v>101</v>
      </c>
      <c r="E133" s="344"/>
      <c r="F133" s="43"/>
      <c r="G133" s="330"/>
      <c r="H133" s="12"/>
      <c r="I133" s="12"/>
      <c r="J133" s="49"/>
      <c r="K133" s="68"/>
      <c r="L133" s="78"/>
    </row>
    <row r="134" spans="1:12" ht="12.75">
      <c r="A134" s="82"/>
      <c r="B134" s="6"/>
      <c r="C134" s="81"/>
      <c r="D134" s="51" t="s">
        <v>817</v>
      </c>
      <c r="E134" s="329">
        <v>48</v>
      </c>
      <c r="F134" s="43"/>
      <c r="G134" s="330"/>
      <c r="H134" s="12"/>
      <c r="I134" s="12"/>
      <c r="J134" s="49"/>
      <c r="K134" s="68"/>
      <c r="L134" s="78"/>
    </row>
    <row r="135" spans="1:12" ht="12.75">
      <c r="A135" s="82"/>
      <c r="B135" s="6"/>
      <c r="C135" s="81"/>
      <c r="D135" s="51" t="s">
        <v>144</v>
      </c>
      <c r="E135" s="329">
        <v>2</v>
      </c>
      <c r="F135" s="43"/>
      <c r="G135" s="330"/>
      <c r="H135" s="12"/>
      <c r="I135" s="12"/>
      <c r="J135" s="49"/>
      <c r="K135" s="68"/>
      <c r="L135" s="78"/>
    </row>
    <row r="136" spans="1:12" ht="12.75">
      <c r="A136" s="82">
        <v>4</v>
      </c>
      <c r="B136" s="80" t="s">
        <v>32</v>
      </c>
      <c r="C136" s="81">
        <v>899331111</v>
      </c>
      <c r="D136" s="118" t="s">
        <v>67</v>
      </c>
      <c r="E136" s="347"/>
      <c r="F136" s="79" t="s">
        <v>23</v>
      </c>
      <c r="G136" s="356">
        <f>SUM(E138:E138)</f>
        <v>30</v>
      </c>
      <c r="H136" s="119"/>
      <c r="I136" s="12">
        <f>G136*H136</f>
        <v>0</v>
      </c>
      <c r="J136" s="117">
        <v>0.4208</v>
      </c>
      <c r="K136" s="68">
        <f>G136*J136</f>
        <v>12.624</v>
      </c>
      <c r="L136" s="1" t="s">
        <v>58</v>
      </c>
    </row>
    <row r="137" spans="1:12" ht="12.75">
      <c r="A137" s="82"/>
      <c r="B137" s="6"/>
      <c r="C137" s="81"/>
      <c r="D137" s="50" t="s">
        <v>101</v>
      </c>
      <c r="E137" s="344"/>
      <c r="F137" s="43"/>
      <c r="G137" s="330"/>
      <c r="H137" s="12"/>
      <c r="I137" s="12"/>
      <c r="J137" s="49"/>
      <c r="K137" s="68"/>
      <c r="L137" s="78"/>
    </row>
    <row r="138" spans="1:12" ht="12.75">
      <c r="A138" s="82"/>
      <c r="B138" s="6"/>
      <c r="C138" s="81"/>
      <c r="D138" s="51" t="s">
        <v>818</v>
      </c>
      <c r="E138" s="329">
        <v>30</v>
      </c>
      <c r="F138" s="43"/>
      <c r="G138" s="330"/>
      <c r="H138" s="12"/>
      <c r="I138" s="12"/>
      <c r="J138" s="49"/>
      <c r="K138" s="68"/>
      <c r="L138" s="78"/>
    </row>
    <row r="139" spans="1:12" ht="12.75">
      <c r="A139" s="82">
        <v>5</v>
      </c>
      <c r="B139" s="80" t="s">
        <v>32</v>
      </c>
      <c r="C139" s="81" t="s">
        <v>43</v>
      </c>
      <c r="D139" s="118" t="s">
        <v>67</v>
      </c>
      <c r="E139" s="347"/>
      <c r="F139" s="79" t="s">
        <v>23</v>
      </c>
      <c r="G139" s="356">
        <f>SUM(E141:E141)</f>
        <v>16</v>
      </c>
      <c r="H139" s="119"/>
      <c r="I139" s="12">
        <f>G139*H139</f>
        <v>0</v>
      </c>
      <c r="J139" s="117">
        <v>0.56</v>
      </c>
      <c r="K139" s="68">
        <f>G139*J139</f>
        <v>8.96</v>
      </c>
      <c r="L139" s="1" t="s">
        <v>59</v>
      </c>
    </row>
    <row r="140" spans="1:12" ht="12.75">
      <c r="A140" s="82"/>
      <c r="B140" s="6"/>
      <c r="C140" s="81"/>
      <c r="D140" s="50" t="s">
        <v>101</v>
      </c>
      <c r="E140" s="344"/>
      <c r="F140" s="43"/>
      <c r="G140" s="330"/>
      <c r="H140" s="12"/>
      <c r="I140" s="12"/>
      <c r="J140" s="49"/>
      <c r="K140" s="68"/>
      <c r="L140" s="78"/>
    </row>
    <row r="141" spans="1:12" ht="12.75">
      <c r="A141" s="82"/>
      <c r="B141" s="6"/>
      <c r="C141" s="81"/>
      <c r="D141" s="51" t="s">
        <v>819</v>
      </c>
      <c r="E141" s="329">
        <v>16</v>
      </c>
      <c r="F141" s="43"/>
      <c r="G141" s="330"/>
      <c r="H141" s="12"/>
      <c r="I141" s="12"/>
      <c r="J141" s="49"/>
      <c r="K141" s="68"/>
      <c r="L141" s="78"/>
    </row>
    <row r="142" spans="1:12" ht="12.75">
      <c r="A142" s="6"/>
      <c r="B142" s="6"/>
      <c r="C142" s="42"/>
      <c r="D142" s="6"/>
      <c r="E142" s="330"/>
      <c r="F142" s="6"/>
      <c r="G142" s="357" t="s">
        <v>19</v>
      </c>
      <c r="H142" s="62"/>
      <c r="I142" s="63">
        <f>SUM(I128:I141)</f>
        <v>0</v>
      </c>
      <c r="J142" s="76"/>
      <c r="K142" s="63">
        <f>SUM(K128:K141)</f>
        <v>154.1162</v>
      </c>
      <c r="L142" s="77"/>
    </row>
    <row r="143" spans="1:12" ht="12.75">
      <c r="A143" s="45" t="s">
        <v>15</v>
      </c>
      <c r="B143" s="45"/>
      <c r="C143" s="16" t="s">
        <v>36</v>
      </c>
      <c r="D143" s="45"/>
      <c r="E143" s="343"/>
      <c r="F143" s="6"/>
      <c r="G143" s="330"/>
      <c r="H143" s="6"/>
      <c r="I143" s="6"/>
      <c r="J143" s="6"/>
      <c r="K143" s="6"/>
      <c r="L143" s="1"/>
    </row>
    <row r="144" spans="1:12" ht="6" customHeight="1">
      <c r="A144" s="47" t="s">
        <v>37</v>
      </c>
      <c r="B144" s="45"/>
      <c r="C144" s="16"/>
      <c r="D144" s="45"/>
      <c r="E144" s="343"/>
      <c r="F144" s="6"/>
      <c r="G144" s="330"/>
      <c r="H144" s="6"/>
      <c r="I144" s="6"/>
      <c r="J144" s="6"/>
      <c r="K144" s="6"/>
      <c r="L144" s="1"/>
    </row>
    <row r="145" spans="1:12" ht="12.75">
      <c r="A145" s="43">
        <v>1</v>
      </c>
      <c r="B145" s="6" t="s">
        <v>32</v>
      </c>
      <c r="C145" s="6">
        <v>96241213</v>
      </c>
      <c r="D145" s="6" t="s">
        <v>825</v>
      </c>
      <c r="E145" s="330"/>
      <c r="F145" s="43" t="s">
        <v>12</v>
      </c>
      <c r="G145" s="330">
        <f>SUM(E147:E148)</f>
        <v>848.27</v>
      </c>
      <c r="H145" s="12"/>
      <c r="I145" s="12">
        <f>G145*H145</f>
        <v>0</v>
      </c>
      <c r="J145" s="49">
        <v>0.14067</v>
      </c>
      <c r="K145" s="68">
        <f>G145*J145</f>
        <v>119.32614089999998</v>
      </c>
      <c r="L145" s="1" t="s">
        <v>58</v>
      </c>
    </row>
    <row r="146" spans="1:12" ht="12.75">
      <c r="A146" s="43"/>
      <c r="B146" s="6"/>
      <c r="C146" s="6"/>
      <c r="D146" s="54" t="s">
        <v>101</v>
      </c>
      <c r="E146" s="330"/>
      <c r="F146" s="43"/>
      <c r="G146" s="330"/>
      <c r="H146" s="12"/>
      <c r="I146" s="12"/>
      <c r="J146" s="49"/>
      <c r="K146" s="68"/>
      <c r="L146" s="1"/>
    </row>
    <row r="147" spans="1:12" ht="12.75">
      <c r="A147" s="43"/>
      <c r="B147" s="6"/>
      <c r="C147" s="6"/>
      <c r="D147" s="51" t="s">
        <v>181</v>
      </c>
      <c r="E147" s="344">
        <f>666.8+18.27</f>
        <v>685.0699999999999</v>
      </c>
      <c r="F147" s="43"/>
      <c r="G147" s="330"/>
      <c r="H147" s="12"/>
      <c r="I147" s="12"/>
      <c r="J147" s="49"/>
      <c r="K147" s="68"/>
      <c r="L147" s="1"/>
    </row>
    <row r="148" spans="1:12" ht="12.75">
      <c r="A148" s="43"/>
      <c r="B148" s="6"/>
      <c r="C148" s="6"/>
      <c r="D148" s="51" t="s">
        <v>823</v>
      </c>
      <c r="E148" s="344">
        <v>163.2</v>
      </c>
      <c r="F148" s="43"/>
      <c r="G148" s="330"/>
      <c r="H148" s="12"/>
      <c r="I148" s="12"/>
      <c r="J148" s="49"/>
      <c r="K148" s="68"/>
      <c r="L148" s="1"/>
    </row>
    <row r="149" spans="1:12" ht="12.75">
      <c r="A149" s="43">
        <v>2</v>
      </c>
      <c r="B149" s="6" t="s">
        <v>13</v>
      </c>
      <c r="C149" s="42">
        <v>552</v>
      </c>
      <c r="D149" s="6" t="s">
        <v>103</v>
      </c>
      <c r="E149" s="348"/>
      <c r="F149" s="43" t="s">
        <v>23</v>
      </c>
      <c r="G149" s="330">
        <f>E150</f>
        <v>691.9206999999999</v>
      </c>
      <c r="H149" s="12"/>
      <c r="I149" s="12">
        <f aca="true" t="shared" si="0" ref="I149:I160">G149*H149</f>
        <v>0</v>
      </c>
      <c r="J149" s="49">
        <v>0.102</v>
      </c>
      <c r="K149" s="68">
        <f>G149*J149</f>
        <v>70.57591139999998</v>
      </c>
      <c r="L149" s="1" t="s">
        <v>59</v>
      </c>
    </row>
    <row r="150" spans="1:12" ht="12.75">
      <c r="A150" s="43"/>
      <c r="B150" s="6"/>
      <c r="C150" s="42"/>
      <c r="D150" s="51" t="s">
        <v>182</v>
      </c>
      <c r="E150" s="344">
        <f>E147*1.01</f>
        <v>691.9206999999999</v>
      </c>
      <c r="F150" s="43"/>
      <c r="G150" s="330"/>
      <c r="H150" s="12"/>
      <c r="I150" s="12">
        <f t="shared" si="0"/>
        <v>0</v>
      </c>
      <c r="J150" s="49"/>
      <c r="K150" s="68"/>
      <c r="L150" s="1"/>
    </row>
    <row r="151" spans="1:12" ht="12.75">
      <c r="A151" s="43">
        <v>3</v>
      </c>
      <c r="B151" s="6" t="s">
        <v>13</v>
      </c>
      <c r="C151" s="42">
        <v>552</v>
      </c>
      <c r="D151" s="6" t="s">
        <v>824</v>
      </c>
      <c r="E151" s="348"/>
      <c r="F151" s="43" t="s">
        <v>23</v>
      </c>
      <c r="G151" s="330">
        <f>E152</f>
        <v>164.832</v>
      </c>
      <c r="H151" s="12"/>
      <c r="I151" s="12">
        <f t="shared" si="0"/>
        <v>0</v>
      </c>
      <c r="J151" s="49">
        <v>0.09</v>
      </c>
      <c r="K151" s="68">
        <f>G151*J151</f>
        <v>14.834879999999998</v>
      </c>
      <c r="L151" s="1" t="s">
        <v>59</v>
      </c>
    </row>
    <row r="152" spans="1:12" ht="12.75">
      <c r="A152" s="43"/>
      <c r="B152" s="6"/>
      <c r="C152" s="42"/>
      <c r="D152" s="51" t="s">
        <v>828</v>
      </c>
      <c r="E152" s="344">
        <f>E148*1.01</f>
        <v>164.832</v>
      </c>
      <c r="F152" s="43"/>
      <c r="G152" s="330"/>
      <c r="H152" s="12"/>
      <c r="I152" s="12">
        <f t="shared" si="0"/>
        <v>0</v>
      </c>
      <c r="J152" s="49"/>
      <c r="K152" s="68"/>
      <c r="L152" s="1"/>
    </row>
    <row r="153" spans="1:12" ht="12.75">
      <c r="A153" s="43">
        <v>4</v>
      </c>
      <c r="B153" s="6" t="s">
        <v>43</v>
      </c>
      <c r="C153" s="42"/>
      <c r="D153" s="6" t="s">
        <v>118</v>
      </c>
      <c r="E153" s="344"/>
      <c r="F153" s="43" t="s">
        <v>12</v>
      </c>
      <c r="G153" s="330">
        <v>32</v>
      </c>
      <c r="H153" s="12"/>
      <c r="I153" s="12">
        <f t="shared" si="0"/>
        <v>0</v>
      </c>
      <c r="J153" s="49"/>
      <c r="K153" s="68"/>
      <c r="L153" s="1" t="s">
        <v>59</v>
      </c>
    </row>
    <row r="154" spans="1:12" ht="12.75">
      <c r="A154" s="43"/>
      <c r="B154" s="6"/>
      <c r="C154" s="42"/>
      <c r="D154" s="54" t="s">
        <v>119</v>
      </c>
      <c r="E154" s="344"/>
      <c r="F154" s="43"/>
      <c r="G154" s="330"/>
      <c r="H154" s="12"/>
      <c r="I154" s="12">
        <f t="shared" si="0"/>
        <v>0</v>
      </c>
      <c r="J154" s="49"/>
      <c r="K154" s="68"/>
      <c r="L154" s="1"/>
    </row>
    <row r="155" spans="1:12" ht="12.75">
      <c r="A155" s="43">
        <v>5</v>
      </c>
      <c r="B155" s="6" t="s">
        <v>43</v>
      </c>
      <c r="C155" s="42"/>
      <c r="D155" s="6" t="s">
        <v>826</v>
      </c>
      <c r="E155" s="344"/>
      <c r="F155" s="43" t="s">
        <v>23</v>
      </c>
      <c r="G155" s="330">
        <v>1</v>
      </c>
      <c r="H155" s="12"/>
      <c r="I155" s="12">
        <f t="shared" si="0"/>
        <v>0</v>
      </c>
      <c r="J155" s="49"/>
      <c r="K155" s="68"/>
      <c r="L155" s="1" t="s">
        <v>59</v>
      </c>
    </row>
    <row r="156" spans="1:12" ht="12.75">
      <c r="A156" s="43"/>
      <c r="B156" s="6"/>
      <c r="C156" s="42"/>
      <c r="D156" s="54" t="s">
        <v>827</v>
      </c>
      <c r="E156" s="344"/>
      <c r="F156" s="43"/>
      <c r="G156" s="330"/>
      <c r="H156" s="12"/>
      <c r="I156" s="12">
        <f t="shared" si="0"/>
        <v>0</v>
      </c>
      <c r="J156" s="49"/>
      <c r="K156" s="68"/>
      <c r="L156" s="1"/>
    </row>
    <row r="157" spans="1:12" ht="12.75">
      <c r="A157" s="43">
        <v>6</v>
      </c>
      <c r="B157" s="6" t="s">
        <v>43</v>
      </c>
      <c r="C157" s="42"/>
      <c r="D157" s="6" t="s">
        <v>820</v>
      </c>
      <c r="E157" s="344"/>
      <c r="F157" s="43" t="s">
        <v>23</v>
      </c>
      <c r="G157" s="330">
        <v>2</v>
      </c>
      <c r="H157" s="12"/>
      <c r="I157" s="12">
        <f t="shared" si="0"/>
        <v>0</v>
      </c>
      <c r="J157" s="49"/>
      <c r="K157" s="68"/>
      <c r="L157" s="1" t="s">
        <v>59</v>
      </c>
    </row>
    <row r="158" spans="1:12" ht="12.75">
      <c r="A158" s="43"/>
      <c r="B158" s="6"/>
      <c r="C158" s="42"/>
      <c r="D158" s="50" t="s">
        <v>821</v>
      </c>
      <c r="E158" s="344"/>
      <c r="F158" s="43"/>
      <c r="G158" s="330"/>
      <c r="H158" s="12"/>
      <c r="I158" s="12">
        <f t="shared" si="0"/>
        <v>0</v>
      </c>
      <c r="J158" s="49"/>
      <c r="K158" s="68"/>
      <c r="L158" s="1"/>
    </row>
    <row r="159" spans="1:12" ht="12.75">
      <c r="A159" s="43">
        <v>7</v>
      </c>
      <c r="B159" s="6" t="s">
        <v>43</v>
      </c>
      <c r="C159" s="42"/>
      <c r="D159" s="6" t="s">
        <v>822</v>
      </c>
      <c r="E159" s="344"/>
      <c r="F159" s="43" t="s">
        <v>23</v>
      </c>
      <c r="G159" s="330">
        <v>9</v>
      </c>
      <c r="H159" s="12"/>
      <c r="I159" s="12">
        <f t="shared" si="0"/>
        <v>0</v>
      </c>
      <c r="J159" s="49"/>
      <c r="K159" s="68"/>
      <c r="L159" s="1" t="s">
        <v>59</v>
      </c>
    </row>
    <row r="160" spans="1:12" ht="12.75">
      <c r="A160" s="43">
        <v>8</v>
      </c>
      <c r="B160" s="6" t="s">
        <v>43</v>
      </c>
      <c r="C160" s="42"/>
      <c r="D160" s="6" t="s">
        <v>131</v>
      </c>
      <c r="E160" s="344"/>
      <c r="F160" s="43" t="s">
        <v>23</v>
      </c>
      <c r="G160" s="330">
        <v>1</v>
      </c>
      <c r="H160" s="12"/>
      <c r="I160" s="12">
        <f t="shared" si="0"/>
        <v>0</v>
      </c>
      <c r="J160" s="49"/>
      <c r="K160" s="68"/>
      <c r="L160" s="1" t="s">
        <v>59</v>
      </c>
    </row>
    <row r="161" spans="1:12" ht="12.75">
      <c r="A161" s="6"/>
      <c r="B161" s="6"/>
      <c r="C161" s="42"/>
      <c r="D161" s="6"/>
      <c r="E161" s="330"/>
      <c r="F161" s="43"/>
      <c r="G161" s="352" t="s">
        <v>19</v>
      </c>
      <c r="H161" s="62"/>
      <c r="I161" s="63">
        <f>SUM(I145:I160)</f>
        <v>0</v>
      </c>
      <c r="J161" s="76"/>
      <c r="K161" s="63">
        <f>SUM(K145:K160)</f>
        <v>204.73693229999998</v>
      </c>
      <c r="L161" s="77">
        <f>SUM(L145:L150)</f>
        <v>0</v>
      </c>
    </row>
    <row r="162" spans="1:12" ht="12.75">
      <c r="A162" s="45" t="s">
        <v>15</v>
      </c>
      <c r="B162" s="45"/>
      <c r="C162" s="16" t="s">
        <v>24</v>
      </c>
      <c r="D162" s="45"/>
      <c r="E162" s="343"/>
      <c r="F162" s="43"/>
      <c r="G162" s="330"/>
      <c r="H162" s="6"/>
      <c r="I162" s="6"/>
      <c r="J162" s="6"/>
      <c r="K162" s="6"/>
      <c r="L162" s="1"/>
    </row>
    <row r="163" spans="1:12" ht="6" customHeight="1">
      <c r="A163" s="47" t="s">
        <v>37</v>
      </c>
      <c r="B163" s="45"/>
      <c r="C163" s="16"/>
      <c r="D163" s="45"/>
      <c r="E163" s="343"/>
      <c r="F163" s="43"/>
      <c r="G163" s="330"/>
      <c r="H163" s="6"/>
      <c r="I163" s="6"/>
      <c r="J163" s="6"/>
      <c r="K163" s="6"/>
      <c r="L163" s="1"/>
    </row>
    <row r="164" spans="1:12" ht="12.75">
      <c r="A164" s="43">
        <v>1</v>
      </c>
      <c r="B164" s="6" t="s">
        <v>32</v>
      </c>
      <c r="C164" s="42">
        <v>998225111</v>
      </c>
      <c r="D164" s="6" t="s">
        <v>96</v>
      </c>
      <c r="E164" s="330"/>
      <c r="F164" s="43" t="s">
        <v>14</v>
      </c>
      <c r="G164" s="351">
        <f>K167</f>
        <v>2755.817118332698</v>
      </c>
      <c r="H164" s="84"/>
      <c r="I164" s="84">
        <f>G164*H164</f>
        <v>0</v>
      </c>
      <c r="J164" s="48"/>
      <c r="K164" s="48"/>
      <c r="L164" s="85" t="s">
        <v>58</v>
      </c>
    </row>
    <row r="165" spans="1:12" ht="12.75">
      <c r="A165" s="6"/>
      <c r="B165" s="6"/>
      <c r="C165" s="42"/>
      <c r="D165" s="6"/>
      <c r="E165" s="330"/>
      <c r="F165" s="43"/>
      <c r="G165" s="352" t="s">
        <v>19</v>
      </c>
      <c r="H165" s="62"/>
      <c r="I165" s="63">
        <f>SUM(I164:I164)</f>
        <v>0</v>
      </c>
      <c r="J165" s="76"/>
      <c r="K165" s="76"/>
      <c r="L165" s="76"/>
    </row>
    <row r="166" spans="1:12" ht="13.5" thickBot="1">
      <c r="A166" s="20"/>
      <c r="B166" s="20"/>
      <c r="C166" s="86"/>
      <c r="D166" s="20"/>
      <c r="E166" s="349"/>
      <c r="F166" s="88"/>
      <c r="G166" s="349"/>
      <c r="H166" s="20"/>
      <c r="I166" s="20"/>
      <c r="J166" s="20"/>
      <c r="K166" s="20"/>
      <c r="L166" s="20"/>
    </row>
    <row r="167" spans="1:12" ht="15.75">
      <c r="A167" s="25" t="s">
        <v>25</v>
      </c>
      <c r="B167" s="25"/>
      <c r="C167" s="89"/>
      <c r="D167" s="25"/>
      <c r="E167" s="350"/>
      <c r="F167" s="91"/>
      <c r="G167" s="402">
        <f>I165+I161+I142+I125+I54</f>
        <v>0</v>
      </c>
      <c r="H167" s="402"/>
      <c r="I167" s="402"/>
      <c r="J167" s="90"/>
      <c r="K167" s="90">
        <f>K165+K161+K142+K125+K54</f>
        <v>2755.817118332698</v>
      </c>
      <c r="L167" s="90">
        <f>L165+L161+L142+L125+L54</f>
        <v>0</v>
      </c>
    </row>
    <row r="168" spans="1:12" ht="12.75">
      <c r="A168" s="6"/>
      <c r="B168" s="6"/>
      <c r="C168" s="42"/>
      <c r="D168" s="6"/>
      <c r="E168" s="330"/>
      <c r="F168" s="43"/>
      <c r="G168" s="330"/>
      <c r="H168" s="92" t="s">
        <v>46</v>
      </c>
      <c r="I168" s="93">
        <f>SUM(I12:I166)*0.5</f>
        <v>0</v>
      </c>
      <c r="J168" s="92"/>
      <c r="K168" s="93">
        <f>SUM(K12:K166)*0.5</f>
        <v>2755.8171183326986</v>
      </c>
      <c r="L168" s="1"/>
    </row>
  </sheetData>
  <sheetProtection/>
  <mergeCells count="10">
    <mergeCell ref="D68:E68"/>
    <mergeCell ref="D123:E123"/>
    <mergeCell ref="J7:K7"/>
    <mergeCell ref="G167:I167"/>
    <mergeCell ref="A1:L1"/>
    <mergeCell ref="D64:E64"/>
    <mergeCell ref="D78:E78"/>
    <mergeCell ref="D121:E121"/>
    <mergeCell ref="D101:E101"/>
    <mergeCell ref="D66:E66"/>
  </mergeCells>
  <printOptions horizontalCentered="1"/>
  <pageMargins left="0.5905511811023623" right="0.44" top="0.56" bottom="0.44" header="0.41" footer="0.4"/>
  <pageSetup fitToHeight="0" fitToWidth="1" horizontalDpi="204" verticalDpi="204" orientation="portrait" paperSize="9" scale="61" r:id="rId1"/>
  <headerFooter alignWithMargins="0">
    <oddHeader>&amp;L&amp;9Položky&amp;R&amp;8Strana &amp;P z &amp;N</oddHeader>
  </headerFooter>
  <rowBreaks count="1" manualBreakCount="1">
    <brk id="100" max="11" man="1"/>
  </rowBreaks>
  <colBreaks count="1" manualBreakCount="1">
    <brk id="10" max="1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E21" sqref="E21"/>
      <selection pane="bottomLeft" activeCell="G10" sqref="G10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4" t="s">
        <v>193</v>
      </c>
    </row>
    <row r="5" spans="1:3" ht="12.75">
      <c r="A5" s="3" t="s">
        <v>42</v>
      </c>
      <c r="B5" s="4"/>
      <c r="C5" s="139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97">
        <v>90</v>
      </c>
      <c r="C10" s="2" t="s">
        <v>35</v>
      </c>
      <c r="E10" s="217">
        <f>'P-301'!I51</f>
        <v>0</v>
      </c>
      <c r="F10" s="32"/>
      <c r="G10" s="99">
        <f>'P-301'!K51</f>
        <v>0</v>
      </c>
    </row>
    <row r="11" spans="1:7" ht="13.5" thickBot="1">
      <c r="A11" s="100"/>
      <c r="B11" s="100"/>
      <c r="C11" s="100"/>
      <c r="D11" s="100"/>
      <c r="E11" s="101"/>
      <c r="F11" s="102"/>
      <c r="G11" s="103"/>
    </row>
    <row r="12" ht="12.75">
      <c r="G12" s="99"/>
    </row>
    <row r="13" spans="1:7" s="108" customFormat="1" ht="15">
      <c r="A13" s="104" t="s">
        <v>44</v>
      </c>
      <c r="B13" s="104"/>
      <c r="C13" s="104"/>
      <c r="D13" s="104"/>
      <c r="E13" s="105">
        <f>SUM(E10:E11)</f>
        <v>0</v>
      </c>
      <c r="F13" s="106"/>
      <c r="G13" s="107">
        <f>SUM(G10:G11)</f>
        <v>0</v>
      </c>
    </row>
    <row r="14" spans="1:7" s="109" customFormat="1" ht="15">
      <c r="A14" s="2"/>
      <c r="B14" s="2"/>
      <c r="C14" s="2"/>
      <c r="D14" s="2"/>
      <c r="E14" s="2"/>
      <c r="F14" s="2"/>
      <c r="G14" s="99"/>
    </row>
    <row r="15" ht="12.75">
      <c r="G15" s="99"/>
    </row>
    <row r="16" spans="1:7" ht="15.75">
      <c r="A16" s="110" t="s">
        <v>45</v>
      </c>
      <c r="B16" s="110"/>
      <c r="C16" s="110"/>
      <c r="D16" s="110"/>
      <c r="E16" s="111">
        <f>E13</f>
        <v>0</v>
      </c>
      <c r="F16" s="110"/>
      <c r="G16" s="112"/>
    </row>
    <row r="17" spans="1:7" ht="15">
      <c r="A17" s="109"/>
      <c r="B17" s="109"/>
      <c r="C17" s="109"/>
      <c r="D17" s="109"/>
      <c r="E17" s="113"/>
      <c r="F17" s="113"/>
      <c r="G17" s="109"/>
    </row>
    <row r="18" spans="1:7" ht="15.75">
      <c r="A18" s="110" t="s">
        <v>48</v>
      </c>
      <c r="B18" s="407">
        <v>0.21</v>
      </c>
      <c r="C18" s="407"/>
      <c r="D18" s="109"/>
      <c r="E18" s="114">
        <f>ROUND(E16*B18,1)</f>
        <v>0</v>
      </c>
      <c r="F18" s="113"/>
      <c r="G18" s="109"/>
    </row>
    <row r="19" spans="1:7" ht="15">
      <c r="A19" s="109"/>
      <c r="B19" s="109"/>
      <c r="C19" s="109"/>
      <c r="D19" s="109"/>
      <c r="E19" s="113"/>
      <c r="F19" s="113"/>
      <c r="G19" s="109"/>
    </row>
    <row r="20" spans="1:7" ht="15.75">
      <c r="A20" s="110" t="s">
        <v>30</v>
      </c>
      <c r="B20" s="109"/>
      <c r="C20" s="109"/>
      <c r="D20" s="109"/>
      <c r="E20" s="115">
        <f>SUM(E16:E19)</f>
        <v>0</v>
      </c>
      <c r="F20" s="116"/>
      <c r="G20" s="116"/>
    </row>
    <row r="21" ht="12.75">
      <c r="C21" s="218"/>
    </row>
  </sheetData>
  <sheetProtection/>
  <mergeCells count="2">
    <mergeCell ref="A1:G1"/>
    <mergeCell ref="B18:C18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Zeros="0" view="pageBreakPreview" zoomScaleSheetLayoutView="100" zoomScalePageLayoutView="0" workbookViewId="0" topLeftCell="A1">
      <pane ySplit="8" topLeftCell="A40" activePane="bottomLeft" state="frozen"/>
      <selection pane="topLeft" activeCell="A8" sqref="A8"/>
      <selection pane="bottomLeft" activeCell="J67" sqref="J67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2" bestFit="1" customWidth="1"/>
    <col min="6" max="6" width="6.625" style="33" bestFit="1" customWidth="1"/>
    <col min="7" max="7" width="10.125" style="340" customWidth="1"/>
    <col min="8" max="8" width="10.25390625" style="2" bestFit="1" customWidth="1"/>
    <col min="9" max="9" width="12.625" style="2" customWidth="1"/>
    <col min="10" max="10" width="9.25390625" style="2" bestFit="1" customWidth="1"/>
    <col min="11" max="11" width="11.625" style="2" customWidth="1"/>
    <col min="12" max="12" width="6.75390625" style="34" customWidth="1"/>
    <col min="13" max="13" width="9.125" style="363" customWidth="1"/>
    <col min="14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193</v>
      </c>
      <c r="J4" s="36" t="s">
        <v>54</v>
      </c>
      <c r="K4" s="2" t="s">
        <v>194</v>
      </c>
    </row>
    <row r="5" spans="1:11" ht="12.75">
      <c r="A5" s="3" t="s">
        <v>42</v>
      </c>
      <c r="B5" s="4"/>
      <c r="C5" s="139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8"/>
      <c r="G7" s="341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41"/>
      <c r="F8" s="39" t="s">
        <v>5</v>
      </c>
      <c r="G8" s="342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 t="s">
        <v>195</v>
      </c>
      <c r="B9" s="6"/>
      <c r="C9" s="42"/>
      <c r="D9" s="6"/>
      <c r="E9" s="12"/>
      <c r="F9" s="43"/>
      <c r="G9" s="330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36</v>
      </c>
      <c r="D10" s="45"/>
      <c r="E10" s="46"/>
      <c r="F10" s="6"/>
      <c r="G10" s="330"/>
      <c r="H10" s="6"/>
      <c r="I10" s="6"/>
      <c r="J10" s="6"/>
      <c r="K10" s="6"/>
      <c r="L10" s="1"/>
    </row>
    <row r="11" spans="1:12" ht="6" customHeight="1">
      <c r="A11" s="47" t="s">
        <v>37</v>
      </c>
      <c r="B11" s="45"/>
      <c r="C11" s="16"/>
      <c r="D11" s="45"/>
      <c r="E11" s="46"/>
      <c r="F11" s="6"/>
      <c r="G11" s="330"/>
      <c r="H11" s="6"/>
      <c r="I11" s="6"/>
      <c r="J11" s="6"/>
      <c r="K11" s="6"/>
      <c r="L11" s="1"/>
    </row>
    <row r="12" spans="1:14" ht="12.75">
      <c r="A12" s="43">
        <v>1</v>
      </c>
      <c r="B12" s="6"/>
      <c r="C12" s="6"/>
      <c r="D12" s="229" t="s">
        <v>196</v>
      </c>
      <c r="E12" s="230"/>
      <c r="F12" s="231" t="s">
        <v>12</v>
      </c>
      <c r="G12" s="358">
        <v>245.25</v>
      </c>
      <c r="H12" s="226"/>
      <c r="I12" s="226">
        <f>G12*H12</f>
        <v>0</v>
      </c>
      <c r="J12" s="227"/>
      <c r="K12" s="228"/>
      <c r="L12" s="1" t="s">
        <v>59</v>
      </c>
      <c r="N12" s="225"/>
    </row>
    <row r="13" spans="1:14" ht="12.75">
      <c r="A13" s="43">
        <v>2</v>
      </c>
      <c r="B13" s="6"/>
      <c r="C13" s="6"/>
      <c r="D13" s="229" t="s">
        <v>197</v>
      </c>
      <c r="E13" s="230"/>
      <c r="F13" s="231" t="s">
        <v>12</v>
      </c>
      <c r="G13" s="358">
        <v>39.1</v>
      </c>
      <c r="H13" s="226"/>
      <c r="I13" s="226">
        <f>G13*H13</f>
        <v>0</v>
      </c>
      <c r="J13" s="227"/>
      <c r="K13" s="228"/>
      <c r="L13" s="1" t="s">
        <v>59</v>
      </c>
      <c r="N13" s="225"/>
    </row>
    <row r="14" spans="1:14" ht="12.75">
      <c r="A14" s="43">
        <v>3</v>
      </c>
      <c r="B14" s="6"/>
      <c r="C14" s="6"/>
      <c r="D14" s="229" t="s">
        <v>198</v>
      </c>
      <c r="E14" s="230"/>
      <c r="F14" s="231" t="s">
        <v>12</v>
      </c>
      <c r="G14" s="358">
        <v>1.5</v>
      </c>
      <c r="H14" s="226"/>
      <c r="I14" s="226">
        <f aca="true" t="shared" si="0" ref="I14:I50">G14*H14</f>
        <v>0</v>
      </c>
      <c r="J14" s="227"/>
      <c r="K14" s="228"/>
      <c r="L14" s="1" t="s">
        <v>59</v>
      </c>
      <c r="N14" s="225"/>
    </row>
    <row r="15" spans="1:14" ht="12.75">
      <c r="A15" s="43">
        <v>4</v>
      </c>
      <c r="B15" s="6"/>
      <c r="C15" s="6"/>
      <c r="D15" s="229" t="s">
        <v>199</v>
      </c>
      <c r="E15" s="230"/>
      <c r="F15" s="231" t="s">
        <v>12</v>
      </c>
      <c r="G15" s="358">
        <v>60</v>
      </c>
      <c r="H15" s="226"/>
      <c r="I15" s="226">
        <f t="shared" si="0"/>
        <v>0</v>
      </c>
      <c r="J15" s="227"/>
      <c r="K15" s="228"/>
      <c r="L15" s="1" t="s">
        <v>59</v>
      </c>
      <c r="N15" s="225"/>
    </row>
    <row r="16" spans="1:14" ht="12.75">
      <c r="A16" s="43">
        <v>5</v>
      </c>
      <c r="B16" s="6"/>
      <c r="C16" s="6"/>
      <c r="D16" s="229" t="s">
        <v>200</v>
      </c>
      <c r="E16" s="230"/>
      <c r="F16" s="231" t="s">
        <v>12</v>
      </c>
      <c r="G16" s="358">
        <v>2.8</v>
      </c>
      <c r="H16" s="226"/>
      <c r="I16" s="226">
        <f t="shared" si="0"/>
        <v>0</v>
      </c>
      <c r="J16" s="227"/>
      <c r="K16" s="228"/>
      <c r="L16" s="1" t="s">
        <v>59</v>
      </c>
      <c r="N16" s="225"/>
    </row>
    <row r="17" spans="1:14" ht="12.75">
      <c r="A17" s="43">
        <v>6</v>
      </c>
      <c r="B17" s="6"/>
      <c r="C17" s="6"/>
      <c r="D17" s="229" t="s">
        <v>201</v>
      </c>
      <c r="E17" s="230"/>
      <c r="F17" s="231" t="s">
        <v>12</v>
      </c>
      <c r="G17" s="358">
        <v>193.2</v>
      </c>
      <c r="H17" s="226"/>
      <c r="I17" s="226">
        <f t="shared" si="0"/>
        <v>0</v>
      </c>
      <c r="J17" s="227"/>
      <c r="K17" s="228"/>
      <c r="L17" s="1" t="s">
        <v>59</v>
      </c>
      <c r="N17" s="225"/>
    </row>
    <row r="18" spans="1:14" ht="12.75">
      <c r="A18" s="43">
        <v>7</v>
      </c>
      <c r="B18" s="6"/>
      <c r="C18" s="6"/>
      <c r="D18" s="229" t="s">
        <v>202</v>
      </c>
      <c r="E18" s="230"/>
      <c r="F18" s="231" t="s">
        <v>203</v>
      </c>
      <c r="G18" s="358">
        <v>554.2</v>
      </c>
      <c r="H18" s="226"/>
      <c r="I18" s="226">
        <f t="shared" si="0"/>
        <v>0</v>
      </c>
      <c r="J18" s="227"/>
      <c r="K18" s="228"/>
      <c r="L18" s="1" t="s">
        <v>59</v>
      </c>
      <c r="N18" s="225"/>
    </row>
    <row r="19" spans="1:14" ht="12.75">
      <c r="A19" s="43">
        <v>8</v>
      </c>
      <c r="B19" s="6"/>
      <c r="C19" s="6"/>
      <c r="D19" s="229" t="s">
        <v>204</v>
      </c>
      <c r="E19" s="230"/>
      <c r="F19" s="231" t="s">
        <v>203</v>
      </c>
      <c r="G19" s="358">
        <v>247.3</v>
      </c>
      <c r="H19" s="226"/>
      <c r="I19" s="226">
        <f t="shared" si="0"/>
        <v>0</v>
      </c>
      <c r="J19" s="227"/>
      <c r="K19" s="228"/>
      <c r="L19" s="1" t="s">
        <v>59</v>
      </c>
      <c r="N19" s="225"/>
    </row>
    <row r="20" spans="1:14" ht="12.75">
      <c r="A20" s="43">
        <v>9</v>
      </c>
      <c r="B20" s="6"/>
      <c r="C20" s="6"/>
      <c r="D20" s="229" t="s">
        <v>205</v>
      </c>
      <c r="E20" s="230"/>
      <c r="F20" s="231" t="s">
        <v>203</v>
      </c>
      <c r="G20" s="358">
        <v>51.95</v>
      </c>
      <c r="H20" s="226"/>
      <c r="I20" s="226">
        <f t="shared" si="0"/>
        <v>0</v>
      </c>
      <c r="J20" s="227"/>
      <c r="K20" s="228"/>
      <c r="L20" s="1" t="s">
        <v>59</v>
      </c>
      <c r="N20" s="225"/>
    </row>
    <row r="21" spans="1:14" ht="12.75">
      <c r="A21" s="43">
        <v>10</v>
      </c>
      <c r="B21" s="6"/>
      <c r="C21" s="6"/>
      <c r="D21" s="229" t="s">
        <v>206</v>
      </c>
      <c r="E21" s="230"/>
      <c r="F21" s="231" t="s">
        <v>203</v>
      </c>
      <c r="G21" s="358">
        <v>23.3</v>
      </c>
      <c r="H21" s="226"/>
      <c r="I21" s="226">
        <f t="shared" si="0"/>
        <v>0</v>
      </c>
      <c r="J21" s="227"/>
      <c r="K21" s="228"/>
      <c r="L21" s="1" t="s">
        <v>59</v>
      </c>
      <c r="N21" s="225"/>
    </row>
    <row r="22" spans="1:14" ht="12.75">
      <c r="A22" s="43">
        <v>11</v>
      </c>
      <c r="B22" s="6"/>
      <c r="C22" s="6"/>
      <c r="D22" s="229" t="s">
        <v>207</v>
      </c>
      <c r="E22" s="230"/>
      <c r="F22" s="231" t="s">
        <v>203</v>
      </c>
      <c r="G22" s="358">
        <v>162.3</v>
      </c>
      <c r="H22" s="226"/>
      <c r="I22" s="226">
        <f t="shared" si="0"/>
        <v>0</v>
      </c>
      <c r="J22" s="227"/>
      <c r="K22" s="228"/>
      <c r="L22" s="1" t="s">
        <v>59</v>
      </c>
      <c r="N22" s="225"/>
    </row>
    <row r="23" spans="1:14" ht="12.75">
      <c r="A23" s="43">
        <v>12</v>
      </c>
      <c r="B23" s="6"/>
      <c r="C23" s="6"/>
      <c r="D23" s="229" t="s">
        <v>208</v>
      </c>
      <c r="E23" s="230"/>
      <c r="F23" s="231" t="s">
        <v>203</v>
      </c>
      <c r="G23" s="358">
        <v>54.1</v>
      </c>
      <c r="H23" s="226"/>
      <c r="I23" s="226">
        <f t="shared" si="0"/>
        <v>0</v>
      </c>
      <c r="J23" s="227"/>
      <c r="K23" s="228"/>
      <c r="L23" s="1" t="s">
        <v>59</v>
      </c>
      <c r="N23" s="225"/>
    </row>
    <row r="24" spans="1:14" ht="12.75">
      <c r="A24" s="43">
        <v>13</v>
      </c>
      <c r="B24" s="6"/>
      <c r="C24" s="6"/>
      <c r="D24" s="229" t="s">
        <v>209</v>
      </c>
      <c r="E24" s="230"/>
      <c r="F24" s="231" t="s">
        <v>203</v>
      </c>
      <c r="G24" s="358">
        <v>225.1</v>
      </c>
      <c r="H24" s="226"/>
      <c r="I24" s="226">
        <f t="shared" si="0"/>
        <v>0</v>
      </c>
      <c r="J24" s="227"/>
      <c r="K24" s="228"/>
      <c r="L24" s="1" t="s">
        <v>59</v>
      </c>
      <c r="N24" s="225"/>
    </row>
    <row r="25" spans="1:14" ht="12.75">
      <c r="A25" s="43">
        <v>14</v>
      </c>
      <c r="B25" s="6"/>
      <c r="C25" s="6"/>
      <c r="D25" s="229" t="s">
        <v>210</v>
      </c>
      <c r="E25" s="230"/>
      <c r="F25" s="231" t="s">
        <v>203</v>
      </c>
      <c r="G25" s="358">
        <v>123.6</v>
      </c>
      <c r="H25" s="226"/>
      <c r="I25" s="226">
        <f t="shared" si="0"/>
        <v>0</v>
      </c>
      <c r="J25" s="227"/>
      <c r="K25" s="228"/>
      <c r="L25" s="1" t="s">
        <v>59</v>
      </c>
      <c r="N25" s="225"/>
    </row>
    <row r="26" spans="1:14" ht="12.75">
      <c r="A26" s="43">
        <v>15</v>
      </c>
      <c r="B26" s="6"/>
      <c r="C26" s="6"/>
      <c r="D26" s="229" t="s">
        <v>211</v>
      </c>
      <c r="E26" s="230"/>
      <c r="F26" s="231" t="s">
        <v>12</v>
      </c>
      <c r="G26" s="358">
        <v>281.75</v>
      </c>
      <c r="H26" s="226"/>
      <c r="I26" s="226">
        <f t="shared" si="0"/>
        <v>0</v>
      </c>
      <c r="J26" s="227"/>
      <c r="K26" s="228"/>
      <c r="L26" s="1" t="s">
        <v>59</v>
      </c>
      <c r="N26" s="225"/>
    </row>
    <row r="27" spans="1:14" ht="12.75">
      <c r="A27" s="43">
        <v>16</v>
      </c>
      <c r="B27" s="6"/>
      <c r="C27" s="6"/>
      <c r="D27" s="229" t="s">
        <v>212</v>
      </c>
      <c r="E27" s="230"/>
      <c r="F27" s="231" t="s">
        <v>12</v>
      </c>
      <c r="G27" s="358">
        <v>2.6</v>
      </c>
      <c r="H27" s="226"/>
      <c r="I27" s="226">
        <f t="shared" si="0"/>
        <v>0</v>
      </c>
      <c r="J27" s="227"/>
      <c r="K27" s="228"/>
      <c r="L27" s="1" t="s">
        <v>59</v>
      </c>
      <c r="N27" s="225"/>
    </row>
    <row r="28" spans="1:14" ht="12.75">
      <c r="A28" s="43">
        <v>17</v>
      </c>
      <c r="B28" s="6"/>
      <c r="C28" s="6"/>
      <c r="D28" s="229" t="s">
        <v>213</v>
      </c>
      <c r="E28" s="230"/>
      <c r="F28" s="231" t="s">
        <v>12</v>
      </c>
      <c r="G28" s="358">
        <v>60</v>
      </c>
      <c r="H28" s="226"/>
      <c r="I28" s="226">
        <f t="shared" si="0"/>
        <v>0</v>
      </c>
      <c r="J28" s="227"/>
      <c r="K28" s="228"/>
      <c r="L28" s="1" t="s">
        <v>59</v>
      </c>
      <c r="N28" s="225"/>
    </row>
    <row r="29" spans="1:14" ht="12.75">
      <c r="A29" s="43">
        <v>18</v>
      </c>
      <c r="B29" s="6"/>
      <c r="C29" s="6"/>
      <c r="D29" s="229" t="s">
        <v>214</v>
      </c>
      <c r="E29" s="230"/>
      <c r="F29" s="231" t="s">
        <v>12</v>
      </c>
      <c r="G29" s="358">
        <v>2.8</v>
      </c>
      <c r="H29" s="226"/>
      <c r="I29" s="226">
        <f t="shared" si="0"/>
        <v>0</v>
      </c>
      <c r="J29" s="227"/>
      <c r="K29" s="228"/>
      <c r="L29" s="1" t="s">
        <v>59</v>
      </c>
      <c r="N29" s="225"/>
    </row>
    <row r="30" spans="1:14" ht="12.75">
      <c r="A30" s="43">
        <v>19</v>
      </c>
      <c r="B30" s="6"/>
      <c r="C30" s="6"/>
      <c r="D30" s="229" t="s">
        <v>215</v>
      </c>
      <c r="E30" s="230"/>
      <c r="F30" s="231" t="s">
        <v>216</v>
      </c>
      <c r="G30" s="358">
        <v>1</v>
      </c>
      <c r="H30" s="226"/>
      <c r="I30" s="226">
        <f t="shared" si="0"/>
        <v>0</v>
      </c>
      <c r="J30" s="227"/>
      <c r="K30" s="228"/>
      <c r="L30" s="1" t="s">
        <v>59</v>
      </c>
      <c r="N30" s="225"/>
    </row>
    <row r="31" spans="1:14" ht="12.75">
      <c r="A31" s="43">
        <v>20</v>
      </c>
      <c r="B31" s="6"/>
      <c r="C31" s="6"/>
      <c r="D31" s="229" t="s">
        <v>217</v>
      </c>
      <c r="E31" s="230"/>
      <c r="F31" s="231" t="s">
        <v>12</v>
      </c>
      <c r="G31" s="358">
        <v>193.2</v>
      </c>
      <c r="H31" s="226"/>
      <c r="I31" s="226">
        <f t="shared" si="0"/>
        <v>0</v>
      </c>
      <c r="J31" s="227"/>
      <c r="K31" s="228"/>
      <c r="L31" s="1" t="s">
        <v>59</v>
      </c>
      <c r="N31" s="225"/>
    </row>
    <row r="32" spans="1:14" ht="12.75">
      <c r="A32" s="43">
        <v>21</v>
      </c>
      <c r="B32" s="6"/>
      <c r="C32" s="6"/>
      <c r="D32" s="229" t="s">
        <v>218</v>
      </c>
      <c r="E32" s="230"/>
      <c r="F32" s="231" t="s">
        <v>23</v>
      </c>
      <c r="G32" s="358">
        <v>22</v>
      </c>
      <c r="H32" s="226"/>
      <c r="I32" s="226">
        <f t="shared" si="0"/>
        <v>0</v>
      </c>
      <c r="J32" s="227"/>
      <c r="K32" s="228"/>
      <c r="L32" s="1" t="s">
        <v>59</v>
      </c>
      <c r="N32" s="225"/>
    </row>
    <row r="33" spans="1:14" ht="12.75">
      <c r="A33" s="43">
        <v>22</v>
      </c>
      <c r="B33" s="6"/>
      <c r="C33" s="6"/>
      <c r="D33" s="229" t="s">
        <v>219</v>
      </c>
      <c r="E33" s="230"/>
      <c r="F33" s="231" t="s">
        <v>23</v>
      </c>
      <c r="G33" s="358">
        <v>5</v>
      </c>
      <c r="H33" s="226"/>
      <c r="I33" s="226">
        <f t="shared" si="0"/>
        <v>0</v>
      </c>
      <c r="J33" s="227"/>
      <c r="K33" s="228"/>
      <c r="L33" s="1" t="s">
        <v>59</v>
      </c>
      <c r="N33" s="225"/>
    </row>
    <row r="34" spans="1:14" ht="12.75">
      <c r="A34" s="43">
        <v>23</v>
      </c>
      <c r="B34" s="6"/>
      <c r="C34" s="6"/>
      <c r="D34" s="229" t="s">
        <v>220</v>
      </c>
      <c r="E34" s="230"/>
      <c r="F34" s="231" t="s">
        <v>23</v>
      </c>
      <c r="G34" s="358">
        <v>1</v>
      </c>
      <c r="H34" s="226"/>
      <c r="I34" s="226">
        <f t="shared" si="0"/>
        <v>0</v>
      </c>
      <c r="J34" s="227"/>
      <c r="K34" s="228"/>
      <c r="L34" s="1" t="s">
        <v>59</v>
      </c>
      <c r="N34" s="225"/>
    </row>
    <row r="35" spans="1:14" ht="12.75">
      <c r="A35" s="43">
        <v>24</v>
      </c>
      <c r="B35" s="6"/>
      <c r="C35" s="6"/>
      <c r="D35" s="229" t="s">
        <v>221</v>
      </c>
      <c r="E35" s="230"/>
      <c r="F35" s="231" t="s">
        <v>23</v>
      </c>
      <c r="G35" s="358">
        <v>4</v>
      </c>
      <c r="H35" s="226"/>
      <c r="I35" s="226">
        <f t="shared" si="0"/>
        <v>0</v>
      </c>
      <c r="J35" s="227"/>
      <c r="K35" s="228"/>
      <c r="L35" s="1" t="s">
        <v>59</v>
      </c>
      <c r="N35" s="225"/>
    </row>
    <row r="36" spans="1:14" ht="12.75">
      <c r="A36" s="43">
        <v>25</v>
      </c>
      <c r="B36" s="6"/>
      <c r="C36" s="6"/>
      <c r="D36" s="229" t="s">
        <v>222</v>
      </c>
      <c r="E36" s="230"/>
      <c r="F36" s="231" t="s">
        <v>23</v>
      </c>
      <c r="G36" s="358">
        <v>1</v>
      </c>
      <c r="H36" s="226"/>
      <c r="I36" s="226">
        <f t="shared" si="0"/>
        <v>0</v>
      </c>
      <c r="J36" s="227"/>
      <c r="K36" s="228"/>
      <c r="L36" s="1" t="s">
        <v>59</v>
      </c>
      <c r="N36" s="225"/>
    </row>
    <row r="37" spans="1:14" ht="12.75">
      <c r="A37" s="43">
        <v>26</v>
      </c>
      <c r="B37" s="6"/>
      <c r="C37" s="6"/>
      <c r="D37" s="229" t="s">
        <v>223</v>
      </c>
      <c r="E37" s="230"/>
      <c r="F37" s="231" t="s">
        <v>23</v>
      </c>
      <c r="G37" s="358">
        <v>6</v>
      </c>
      <c r="H37" s="226"/>
      <c r="I37" s="226">
        <f t="shared" si="0"/>
        <v>0</v>
      </c>
      <c r="J37" s="227"/>
      <c r="K37" s="228"/>
      <c r="L37" s="1" t="s">
        <v>59</v>
      </c>
      <c r="N37" s="225"/>
    </row>
    <row r="38" spans="1:14" ht="12.75">
      <c r="A38" s="43">
        <v>27</v>
      </c>
      <c r="B38" s="6"/>
      <c r="C38" s="8"/>
      <c r="D38" s="229" t="s">
        <v>224</v>
      </c>
      <c r="E38" s="230"/>
      <c r="F38" s="231" t="s">
        <v>12</v>
      </c>
      <c r="G38" s="358">
        <v>1130</v>
      </c>
      <c r="H38" s="226"/>
      <c r="I38" s="226">
        <f t="shared" si="0"/>
        <v>0</v>
      </c>
      <c r="J38" s="227"/>
      <c r="K38" s="228"/>
      <c r="L38" s="1" t="s">
        <v>59</v>
      </c>
      <c r="N38" s="225"/>
    </row>
    <row r="39" spans="1:12" ht="12.75">
      <c r="A39" s="43">
        <v>28</v>
      </c>
      <c r="B39" s="6"/>
      <c r="C39" s="6"/>
      <c r="D39" s="229" t="s">
        <v>225</v>
      </c>
      <c r="E39" s="230"/>
      <c r="F39" s="231" t="s">
        <v>23</v>
      </c>
      <c r="G39" s="358">
        <v>9</v>
      </c>
      <c r="H39" s="226"/>
      <c r="I39" s="226">
        <f t="shared" si="0"/>
        <v>0</v>
      </c>
      <c r="J39" s="227"/>
      <c r="K39" s="228"/>
      <c r="L39" s="1" t="s">
        <v>59</v>
      </c>
    </row>
    <row r="40" spans="1:14" ht="12.75">
      <c r="A40" s="43">
        <v>29</v>
      </c>
      <c r="B40" s="6"/>
      <c r="C40" s="6"/>
      <c r="D40" s="229" t="s">
        <v>226</v>
      </c>
      <c r="E40" s="230"/>
      <c r="F40" s="231" t="s">
        <v>23</v>
      </c>
      <c r="G40" s="358">
        <v>22</v>
      </c>
      <c r="H40" s="226"/>
      <c r="I40" s="226">
        <f t="shared" si="0"/>
        <v>0</v>
      </c>
      <c r="J40" s="227"/>
      <c r="K40" s="228"/>
      <c r="L40" s="1" t="s">
        <v>59</v>
      </c>
      <c r="N40" s="225"/>
    </row>
    <row r="41" spans="1:14" ht="12.75">
      <c r="A41" s="43">
        <v>30</v>
      </c>
      <c r="B41" s="6"/>
      <c r="C41" s="6"/>
      <c r="D41" s="229" t="s">
        <v>227</v>
      </c>
      <c r="E41" s="230"/>
      <c r="F41" s="231" t="s">
        <v>216</v>
      </c>
      <c r="G41" s="358">
        <v>1</v>
      </c>
      <c r="H41" s="226"/>
      <c r="I41" s="226">
        <f t="shared" si="0"/>
        <v>0</v>
      </c>
      <c r="J41" s="227"/>
      <c r="K41" s="228"/>
      <c r="L41" s="1" t="s">
        <v>59</v>
      </c>
      <c r="N41" s="225"/>
    </row>
    <row r="42" spans="1:14" ht="12.75">
      <c r="A42" s="43">
        <v>31</v>
      </c>
      <c r="B42" s="6"/>
      <c r="C42" s="6"/>
      <c r="D42" s="229" t="s">
        <v>228</v>
      </c>
      <c r="E42" s="230"/>
      <c r="F42" s="386" t="s">
        <v>203</v>
      </c>
      <c r="G42" s="358">
        <v>3</v>
      </c>
      <c r="H42" s="226"/>
      <c r="I42" s="226">
        <f t="shared" si="0"/>
        <v>0</v>
      </c>
      <c r="J42" s="227"/>
      <c r="K42" s="228"/>
      <c r="L42" s="1" t="s">
        <v>59</v>
      </c>
      <c r="N42" s="225"/>
    </row>
    <row r="43" spans="1:12" ht="12.75">
      <c r="A43" s="43">
        <v>32</v>
      </c>
      <c r="B43" s="6"/>
      <c r="C43" s="6"/>
      <c r="D43" s="229" t="s">
        <v>230</v>
      </c>
      <c r="E43" s="230"/>
      <c r="F43" s="231" t="s">
        <v>216</v>
      </c>
      <c r="G43" s="358">
        <v>1</v>
      </c>
      <c r="H43" s="226"/>
      <c r="I43" s="226">
        <f t="shared" si="0"/>
        <v>0</v>
      </c>
      <c r="J43" s="227"/>
      <c r="K43" s="228"/>
      <c r="L43" s="1" t="s">
        <v>59</v>
      </c>
    </row>
    <row r="44" spans="1:12" ht="12.75">
      <c r="A44" s="43">
        <v>33</v>
      </c>
      <c r="B44" s="6"/>
      <c r="C44" s="6"/>
      <c r="D44" s="229" t="s">
        <v>231</v>
      </c>
      <c r="E44" s="230"/>
      <c r="F44" s="231" t="s">
        <v>216</v>
      </c>
      <c r="G44" s="358">
        <v>1</v>
      </c>
      <c r="H44" s="226"/>
      <c r="I44" s="226">
        <f t="shared" si="0"/>
        <v>0</v>
      </c>
      <c r="J44" s="227"/>
      <c r="K44" s="228"/>
      <c r="L44" s="1" t="s">
        <v>59</v>
      </c>
    </row>
    <row r="45" spans="1:12" ht="12.75">
      <c r="A45" s="43">
        <v>34</v>
      </c>
      <c r="B45" s="6"/>
      <c r="C45" s="6"/>
      <c r="D45" s="229" t="s">
        <v>232</v>
      </c>
      <c r="E45" s="230"/>
      <c r="F45" s="231" t="s">
        <v>216</v>
      </c>
      <c r="G45" s="358">
        <v>1</v>
      </c>
      <c r="H45" s="226"/>
      <c r="I45" s="226">
        <f t="shared" si="0"/>
        <v>0</v>
      </c>
      <c r="J45" s="227"/>
      <c r="K45" s="228"/>
      <c r="L45" s="1" t="s">
        <v>59</v>
      </c>
    </row>
    <row r="46" spans="1:12" ht="12.75">
      <c r="A46" s="43">
        <v>35</v>
      </c>
      <c r="B46" s="6"/>
      <c r="C46" s="6"/>
      <c r="D46" s="229" t="s">
        <v>233</v>
      </c>
      <c r="E46" s="230"/>
      <c r="F46" s="231" t="s">
        <v>216</v>
      </c>
      <c r="G46" s="358">
        <v>1</v>
      </c>
      <c r="H46" s="226"/>
      <c r="I46" s="226">
        <f t="shared" si="0"/>
        <v>0</v>
      </c>
      <c r="J46" s="227"/>
      <c r="K46" s="228"/>
      <c r="L46" s="1" t="s">
        <v>59</v>
      </c>
    </row>
    <row r="47" spans="1:14" ht="12.75">
      <c r="A47" s="43">
        <v>36</v>
      </c>
      <c r="B47" s="6"/>
      <c r="C47" s="6"/>
      <c r="D47" s="229" t="s">
        <v>234</v>
      </c>
      <c r="E47" s="230"/>
      <c r="F47" s="231" t="s">
        <v>216</v>
      </c>
      <c r="G47" s="358">
        <v>1</v>
      </c>
      <c r="H47" s="226"/>
      <c r="I47" s="226">
        <f t="shared" si="0"/>
        <v>0</v>
      </c>
      <c r="J47" s="227"/>
      <c r="K47" s="228"/>
      <c r="L47" s="1" t="s">
        <v>59</v>
      </c>
      <c r="N47" s="225"/>
    </row>
    <row r="48" spans="1:14" ht="12.75">
      <c r="A48" s="43">
        <v>37</v>
      </c>
      <c r="B48" s="6"/>
      <c r="C48" s="6"/>
      <c r="D48" s="385" t="s">
        <v>895</v>
      </c>
      <c r="E48" s="230"/>
      <c r="F48" s="386" t="s">
        <v>203</v>
      </c>
      <c r="G48" s="358">
        <v>0.72</v>
      </c>
      <c r="H48" s="226"/>
      <c r="I48" s="226">
        <f t="shared" si="0"/>
        <v>0</v>
      </c>
      <c r="J48" s="227"/>
      <c r="K48" s="228"/>
      <c r="L48" s="1" t="s">
        <v>59</v>
      </c>
      <c r="N48" s="225"/>
    </row>
    <row r="49" spans="1:14" ht="12.75">
      <c r="A49" s="43">
        <v>38</v>
      </c>
      <c r="B49" s="6"/>
      <c r="C49" s="6"/>
      <c r="D49" s="385" t="s">
        <v>896</v>
      </c>
      <c r="E49" s="230"/>
      <c r="F49" s="386" t="s">
        <v>216</v>
      </c>
      <c r="G49" s="358">
        <v>1</v>
      </c>
      <c r="H49" s="226"/>
      <c r="I49" s="226">
        <f t="shared" si="0"/>
        <v>0</v>
      </c>
      <c r="J49" s="227"/>
      <c r="K49" s="228"/>
      <c r="L49" s="1" t="s">
        <v>59</v>
      </c>
      <c r="N49" s="225"/>
    </row>
    <row r="50" spans="1:14" ht="12.75">
      <c r="A50" s="43">
        <v>39</v>
      </c>
      <c r="B50" s="6"/>
      <c r="C50" s="6"/>
      <c r="D50" s="385" t="s">
        <v>897</v>
      </c>
      <c r="E50" s="230"/>
      <c r="F50" s="386" t="s">
        <v>203</v>
      </c>
      <c r="G50" s="358">
        <v>291.62</v>
      </c>
      <c r="H50" s="226"/>
      <c r="I50" s="226">
        <f t="shared" si="0"/>
        <v>0</v>
      </c>
      <c r="J50" s="227"/>
      <c r="K50" s="228"/>
      <c r="L50" s="1" t="s">
        <v>59</v>
      </c>
      <c r="N50" s="225"/>
    </row>
    <row r="51" spans="1:12" ht="12.75">
      <c r="A51" s="6"/>
      <c r="B51" s="6"/>
      <c r="C51" s="42"/>
      <c r="D51" s="6"/>
      <c r="E51" s="12"/>
      <c r="F51" s="43"/>
      <c r="G51" s="352" t="s">
        <v>19</v>
      </c>
      <c r="H51" s="62"/>
      <c r="I51" s="63">
        <f>SUM(I12:I50)</f>
        <v>0</v>
      </c>
      <c r="J51" s="76"/>
      <c r="K51" s="63"/>
      <c r="L51" s="77"/>
    </row>
    <row r="52" spans="1:12" ht="13.5" thickBot="1">
      <c r="A52" s="20"/>
      <c r="B52" s="20"/>
      <c r="C52" s="86"/>
      <c r="D52" s="20"/>
      <c r="E52" s="87"/>
      <c r="F52" s="88"/>
      <c r="G52" s="349"/>
      <c r="H52" s="20"/>
      <c r="I52" s="20"/>
      <c r="J52" s="20"/>
      <c r="K52" s="20"/>
      <c r="L52" s="20"/>
    </row>
    <row r="53" spans="1:12" ht="15.75">
      <c r="A53" s="25" t="s">
        <v>25</v>
      </c>
      <c r="B53" s="25"/>
      <c r="C53" s="89"/>
      <c r="D53" s="25"/>
      <c r="E53" s="90"/>
      <c r="F53" s="91"/>
      <c r="G53" s="402">
        <f>I51</f>
        <v>0</v>
      </c>
      <c r="H53" s="402"/>
      <c r="I53" s="402"/>
      <c r="J53" s="90"/>
      <c r="K53" s="90">
        <f>K51</f>
        <v>0</v>
      </c>
      <c r="L53" s="90"/>
    </row>
    <row r="54" spans="1:12" ht="12.75">
      <c r="A54" s="6"/>
      <c r="B54" s="6"/>
      <c r="C54" s="42"/>
      <c r="D54" s="6"/>
      <c r="E54" s="12"/>
      <c r="F54" s="43"/>
      <c r="G54" s="330"/>
      <c r="H54" s="92" t="s">
        <v>46</v>
      </c>
      <c r="I54" s="93">
        <f>SUM(I10:I52)*0.5</f>
        <v>0</v>
      </c>
      <c r="J54" s="92"/>
      <c r="K54" s="93">
        <f>SUM(K10:K52)*0.5</f>
        <v>0</v>
      </c>
      <c r="L54" s="1"/>
    </row>
    <row r="55" spans="1:12" ht="12.75">
      <c r="A55" s="6"/>
      <c r="B55" s="6"/>
      <c r="C55" s="42"/>
      <c r="D55" s="365"/>
      <c r="E55" s="366"/>
      <c r="F55" s="367"/>
      <c r="G55" s="368"/>
      <c r="H55" s="6"/>
      <c r="I55" s="6"/>
      <c r="J55" s="6"/>
      <c r="K55" s="6"/>
      <c r="L55" s="1"/>
    </row>
    <row r="56" spans="1:12" ht="12.75">
      <c r="A56" s="6"/>
      <c r="B56" s="6"/>
      <c r="C56" s="42"/>
      <c r="D56" s="365"/>
      <c r="E56" s="366"/>
      <c r="F56" s="367"/>
      <c r="G56" s="330"/>
      <c r="H56" s="12"/>
      <c r="I56" s="6"/>
      <c r="J56" s="6"/>
      <c r="K56" s="6"/>
      <c r="L56" s="1"/>
    </row>
    <row r="57" spans="1:12" ht="12.75">
      <c r="A57" s="6"/>
      <c r="B57" s="6"/>
      <c r="C57" s="42"/>
      <c r="D57" s="365"/>
      <c r="E57" s="366"/>
      <c r="F57" s="367"/>
      <c r="G57" s="368"/>
      <c r="H57" s="6"/>
      <c r="I57" s="12"/>
      <c r="J57" s="6"/>
      <c r="K57" s="6"/>
      <c r="L57" s="1"/>
    </row>
    <row r="58" spans="1:12" ht="12.75">
      <c r="A58" s="6"/>
      <c r="B58" s="6"/>
      <c r="C58" s="42"/>
      <c r="D58" s="6"/>
      <c r="E58" s="12"/>
      <c r="F58" s="43"/>
      <c r="G58" s="330"/>
      <c r="H58" s="6"/>
      <c r="I58" s="6"/>
      <c r="J58" s="6"/>
      <c r="K58" s="6"/>
      <c r="L58" s="1"/>
    </row>
    <row r="59" spans="1:12" ht="12.75">
      <c r="A59" s="6"/>
      <c r="B59" s="6"/>
      <c r="C59" s="42"/>
      <c r="D59" s="6"/>
      <c r="E59" s="12"/>
      <c r="F59" s="43"/>
      <c r="G59" s="330"/>
      <c r="H59" s="6"/>
      <c r="I59" s="6"/>
      <c r="J59" s="6"/>
      <c r="K59" s="6"/>
      <c r="L59" s="1"/>
    </row>
    <row r="60" spans="1:12" ht="12.75">
      <c r="A60" s="6"/>
      <c r="B60" s="6"/>
      <c r="C60" s="42"/>
      <c r="D60" s="6"/>
      <c r="E60" s="12"/>
      <c r="F60" s="43"/>
      <c r="G60" s="330"/>
      <c r="H60" s="6"/>
      <c r="I60" s="6"/>
      <c r="J60" s="6"/>
      <c r="K60" s="6"/>
      <c r="L60" s="1"/>
    </row>
    <row r="61" spans="1:12" ht="12.75">
      <c r="A61" s="6"/>
      <c r="B61" s="6"/>
      <c r="C61" s="42"/>
      <c r="D61" s="6"/>
      <c r="E61" s="12"/>
      <c r="F61" s="43"/>
      <c r="G61" s="330"/>
      <c r="H61" s="6"/>
      <c r="I61" s="6"/>
      <c r="J61" s="6"/>
      <c r="K61" s="6"/>
      <c r="L61" s="1"/>
    </row>
    <row r="62" spans="1:12" ht="12.75">
      <c r="A62" s="6"/>
      <c r="B62" s="6"/>
      <c r="C62" s="42"/>
      <c r="D62" s="6"/>
      <c r="E62" s="12"/>
      <c r="F62" s="43"/>
      <c r="G62" s="330"/>
      <c r="H62" s="6"/>
      <c r="I62" s="6"/>
      <c r="J62" s="6"/>
      <c r="K62" s="6"/>
      <c r="L62" s="1"/>
    </row>
    <row r="63" spans="1:12" ht="12.75">
      <c r="A63" s="6"/>
      <c r="B63" s="6"/>
      <c r="C63" s="42"/>
      <c r="D63" s="6"/>
      <c r="E63" s="12"/>
      <c r="F63" s="43"/>
      <c r="G63" s="330"/>
      <c r="H63" s="6"/>
      <c r="I63" s="6"/>
      <c r="J63" s="6"/>
      <c r="K63" s="6"/>
      <c r="L63" s="1"/>
    </row>
    <row r="64" spans="1:12" ht="12.75">
      <c r="A64" s="6"/>
      <c r="B64" s="6"/>
      <c r="C64" s="42"/>
      <c r="D64" s="6"/>
      <c r="E64" s="12"/>
      <c r="F64" s="43"/>
      <c r="G64" s="330"/>
      <c r="H64" s="6"/>
      <c r="I64" s="6"/>
      <c r="J64" s="6"/>
      <c r="K64" s="6"/>
      <c r="L64" s="1"/>
    </row>
    <row r="65" spans="1:12" ht="12.75">
      <c r="A65" s="6"/>
      <c r="B65" s="6"/>
      <c r="C65" s="42"/>
      <c r="D65" s="6"/>
      <c r="E65" s="12"/>
      <c r="F65" s="43"/>
      <c r="G65" s="330"/>
      <c r="H65" s="6"/>
      <c r="I65" s="6"/>
      <c r="J65" s="6"/>
      <c r="K65" s="6"/>
      <c r="L65" s="1"/>
    </row>
  </sheetData>
  <sheetProtection/>
  <mergeCells count="3">
    <mergeCell ref="A1:L1"/>
    <mergeCell ref="J7:K7"/>
    <mergeCell ref="G53:I53"/>
  </mergeCells>
  <printOptions horizontalCentered="1"/>
  <pageMargins left="0.5905511811023623" right="0.44" top="0.56" bottom="0.44" header="0.41" footer="0.4"/>
  <pageSetup fitToHeight="0" fitToWidth="1" horizontalDpi="204" verticalDpi="204" orientation="portrait" paperSize="9" scale="61" r:id="rId1"/>
  <headerFooter alignWithMargins="0">
    <oddHeader>&amp;L&amp;9Položky&amp;R&amp;8Strana &amp;P z &amp;N</oddHeader>
  </headerFooter>
  <colBreaks count="2" manualBreakCount="2">
    <brk id="10" max="193" man="1"/>
    <brk id="11" max="18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8" sqref="A8"/>
      <selection pane="bottomLeft" activeCell="G10" sqref="G10"/>
    </sheetView>
  </sheetViews>
  <sheetFormatPr defaultColWidth="9.00390625" defaultRowHeight="12.75"/>
  <cols>
    <col min="1" max="1" width="5.875" style="2" customWidth="1"/>
    <col min="2" max="2" width="4.125" style="2" customWidth="1"/>
    <col min="3" max="3" width="31.625" style="2" customWidth="1"/>
    <col min="4" max="4" width="13.625" style="2" customWidth="1"/>
    <col min="5" max="5" width="23.00390625" style="2" customWidth="1"/>
    <col min="6" max="6" width="9.125" style="2" customWidth="1"/>
    <col min="7" max="7" width="21.625" style="2" customWidth="1"/>
    <col min="8" max="16384" width="9.125" style="2" customWidth="1"/>
  </cols>
  <sheetData>
    <row r="1" spans="1:7" ht="26.25" customHeight="1">
      <c r="A1" s="406" t="s">
        <v>31</v>
      </c>
      <c r="B1" s="406"/>
      <c r="C1" s="406"/>
      <c r="D1" s="406"/>
      <c r="E1" s="406"/>
      <c r="F1" s="406"/>
      <c r="G1" s="406"/>
    </row>
    <row r="3" spans="1:3" ht="15.75">
      <c r="A3" s="3" t="s">
        <v>21</v>
      </c>
      <c r="B3" s="4"/>
      <c r="C3" s="95" t="s">
        <v>74</v>
      </c>
    </row>
    <row r="4" spans="1:3" ht="12.75">
      <c r="A4" s="3" t="s">
        <v>22</v>
      </c>
      <c r="B4" s="4"/>
      <c r="C4" s="4" t="s">
        <v>235</v>
      </c>
    </row>
    <row r="5" spans="1:3" ht="12.75">
      <c r="A5" s="3" t="s">
        <v>42</v>
      </c>
      <c r="B5" s="4"/>
      <c r="C5" s="139" t="s">
        <v>145</v>
      </c>
    </row>
    <row r="7" spans="1:7" s="4" customFormat="1" ht="13.5" thickBot="1">
      <c r="A7" s="5"/>
      <c r="B7" s="5"/>
      <c r="C7" s="5"/>
      <c r="D7" s="5"/>
      <c r="E7" s="5" t="s">
        <v>29</v>
      </c>
      <c r="F7" s="5"/>
      <c r="G7" s="5" t="s">
        <v>28</v>
      </c>
    </row>
    <row r="8" ht="12.75">
      <c r="G8" s="96"/>
    </row>
    <row r="10" spans="1:7" ht="12.75">
      <c r="A10" s="97">
        <v>90</v>
      </c>
      <c r="C10" s="2" t="s">
        <v>35</v>
      </c>
      <c r="E10" s="217">
        <f>'P-302'!I31</f>
        <v>0</v>
      </c>
      <c r="F10" s="32"/>
      <c r="G10" s="99">
        <f>'P-302'!K31</f>
        <v>0</v>
      </c>
    </row>
    <row r="11" spans="1:7" ht="13.5" thickBot="1">
      <c r="A11" s="100"/>
      <c r="B11" s="100"/>
      <c r="C11" s="100"/>
      <c r="D11" s="100"/>
      <c r="E11" s="101"/>
      <c r="F11" s="102"/>
      <c r="G11" s="103"/>
    </row>
    <row r="12" ht="12.75">
      <c r="G12" s="99"/>
    </row>
    <row r="13" spans="1:7" s="108" customFormat="1" ht="15">
      <c r="A13" s="104" t="s">
        <v>44</v>
      </c>
      <c r="B13" s="104"/>
      <c r="C13" s="104"/>
      <c r="D13" s="104"/>
      <c r="E13" s="105">
        <f>SUM(E10:E11)</f>
        <v>0</v>
      </c>
      <c r="F13" s="106"/>
      <c r="G13" s="107">
        <f>SUM(G10:G11)</f>
        <v>0</v>
      </c>
    </row>
    <row r="14" spans="1:7" s="109" customFormat="1" ht="15">
      <c r="A14" s="2"/>
      <c r="B14" s="2"/>
      <c r="C14" s="2"/>
      <c r="D14" s="2"/>
      <c r="E14" s="2"/>
      <c r="F14" s="2"/>
      <c r="G14" s="99"/>
    </row>
    <row r="15" ht="12.75">
      <c r="G15" s="99"/>
    </row>
    <row r="16" spans="1:7" ht="15.75">
      <c r="A16" s="110" t="s">
        <v>45</v>
      </c>
      <c r="B16" s="110"/>
      <c r="C16" s="110"/>
      <c r="D16" s="110"/>
      <c r="E16" s="111">
        <f>E13</f>
        <v>0</v>
      </c>
      <c r="F16" s="110"/>
      <c r="G16" s="112"/>
    </row>
    <row r="17" spans="1:7" ht="15">
      <c r="A17" s="109"/>
      <c r="B17" s="109"/>
      <c r="C17" s="109"/>
      <c r="D17" s="109"/>
      <c r="E17" s="113"/>
      <c r="F17" s="113"/>
      <c r="G17" s="109"/>
    </row>
    <row r="18" spans="1:7" ht="15.75">
      <c r="A18" s="110" t="s">
        <v>48</v>
      </c>
      <c r="B18" s="407">
        <v>0.21</v>
      </c>
      <c r="C18" s="407"/>
      <c r="D18" s="109"/>
      <c r="E18" s="114">
        <f>ROUND(E16*B18,1)</f>
        <v>0</v>
      </c>
      <c r="F18" s="113"/>
      <c r="G18" s="109"/>
    </row>
    <row r="19" spans="1:7" ht="15">
      <c r="A19" s="109"/>
      <c r="B19" s="109"/>
      <c r="C19" s="109"/>
      <c r="D19" s="109"/>
      <c r="E19" s="113"/>
      <c r="F19" s="113"/>
      <c r="G19" s="109"/>
    </row>
    <row r="20" spans="1:7" ht="15.75">
      <c r="A20" s="110" t="s">
        <v>30</v>
      </c>
      <c r="B20" s="109"/>
      <c r="C20" s="109"/>
      <c r="D20" s="109"/>
      <c r="E20" s="115">
        <f>SUM(E16:E19)</f>
        <v>0</v>
      </c>
      <c r="F20" s="116"/>
      <c r="G20" s="116"/>
    </row>
    <row r="21" ht="12.75">
      <c r="C21" s="218"/>
    </row>
  </sheetData>
  <sheetProtection/>
  <mergeCells count="2">
    <mergeCell ref="A1:G1"/>
    <mergeCell ref="B18:C18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view="pageBreakPreview" zoomScaleSheetLayoutView="100" zoomScalePageLayoutView="0" workbookViewId="0" topLeftCell="A1">
      <pane ySplit="8" topLeftCell="A18" activePane="bottomLeft" state="frozen"/>
      <selection pane="topLeft" activeCell="A8" sqref="A8"/>
      <selection pane="bottomLeft" activeCell="A32" sqref="A32:IV32"/>
    </sheetView>
  </sheetViews>
  <sheetFormatPr defaultColWidth="9.00390625" defaultRowHeight="12.75"/>
  <cols>
    <col min="1" max="1" width="3.75390625" style="2" customWidth="1"/>
    <col min="2" max="2" width="6.125" style="2" customWidth="1"/>
    <col min="3" max="3" width="10.00390625" style="37" customWidth="1"/>
    <col min="4" max="4" width="53.75390625" style="2" customWidth="1"/>
    <col min="5" max="5" width="11.375" style="32" bestFit="1" customWidth="1"/>
    <col min="6" max="6" width="6.625" style="33" bestFit="1" customWidth="1"/>
    <col min="7" max="7" width="10.125" style="340" customWidth="1"/>
    <col min="8" max="8" width="10.25390625" style="2" bestFit="1" customWidth="1"/>
    <col min="9" max="9" width="12.625" style="2" customWidth="1"/>
    <col min="10" max="10" width="9.25390625" style="2" bestFit="1" customWidth="1"/>
    <col min="11" max="11" width="11.625" style="2" customWidth="1"/>
    <col min="12" max="12" width="6.75390625" style="34" customWidth="1"/>
    <col min="13" max="16384" width="9.125" style="2" customWidth="1"/>
  </cols>
  <sheetData>
    <row r="1" spans="1:12" ht="26.25" customHeight="1">
      <c r="A1" s="406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3" spans="1:3" ht="15.75">
      <c r="A3" s="3" t="s">
        <v>21</v>
      </c>
      <c r="B3" s="4"/>
      <c r="C3" s="31" t="s">
        <v>74</v>
      </c>
    </row>
    <row r="4" spans="1:11" ht="12.75">
      <c r="A4" s="3" t="s">
        <v>22</v>
      </c>
      <c r="B4" s="4"/>
      <c r="C4" s="35" t="s">
        <v>235</v>
      </c>
      <c r="J4" s="36" t="s">
        <v>54</v>
      </c>
      <c r="K4" s="2" t="s">
        <v>236</v>
      </c>
    </row>
    <row r="5" spans="1:11" ht="12.75">
      <c r="A5" s="3" t="s">
        <v>42</v>
      </c>
      <c r="B5" s="4"/>
      <c r="C5" s="139" t="s">
        <v>145</v>
      </c>
      <c r="J5" s="36" t="s">
        <v>55</v>
      </c>
      <c r="K5" s="2" t="s">
        <v>62</v>
      </c>
    </row>
    <row r="7" spans="1:11" ht="12.75">
      <c r="A7" s="33" t="s">
        <v>0</v>
      </c>
      <c r="B7" s="33" t="s">
        <v>17</v>
      </c>
      <c r="D7" s="33"/>
      <c r="E7" s="38"/>
      <c r="G7" s="341"/>
      <c r="H7" s="33"/>
      <c r="I7" s="33"/>
      <c r="J7" s="410" t="s">
        <v>20</v>
      </c>
      <c r="K7" s="410"/>
    </row>
    <row r="8" spans="1:12" ht="13.5" thickBot="1">
      <c r="A8" s="39" t="s">
        <v>1</v>
      </c>
      <c r="B8" s="39" t="s">
        <v>2</v>
      </c>
      <c r="C8" s="40" t="s">
        <v>3</v>
      </c>
      <c r="D8" s="39" t="s">
        <v>4</v>
      </c>
      <c r="E8" s="41"/>
      <c r="F8" s="39" t="s">
        <v>5</v>
      </c>
      <c r="G8" s="342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57</v>
      </c>
    </row>
    <row r="9" spans="1:12" ht="12.75">
      <c r="A9" s="6"/>
      <c r="B9" s="6"/>
      <c r="C9" s="42"/>
      <c r="D9" s="6"/>
      <c r="E9" s="12"/>
      <c r="F9" s="43"/>
      <c r="G9" s="330"/>
      <c r="H9" s="6"/>
      <c r="I9" s="6"/>
      <c r="J9" s="6"/>
      <c r="K9" s="7"/>
      <c r="L9" s="44"/>
    </row>
    <row r="10" spans="1:12" ht="12.75">
      <c r="A10" s="45" t="s">
        <v>15</v>
      </c>
      <c r="B10" s="45"/>
      <c r="C10" s="16" t="s">
        <v>36</v>
      </c>
      <c r="D10" s="45"/>
      <c r="E10" s="46"/>
      <c r="F10" s="6"/>
      <c r="G10" s="330"/>
      <c r="H10" s="6"/>
      <c r="I10" s="6"/>
      <c r="J10" s="6"/>
      <c r="K10" s="6"/>
      <c r="L10" s="1"/>
    </row>
    <row r="11" spans="1:12" ht="6" customHeight="1">
      <c r="A11" s="47" t="s">
        <v>37</v>
      </c>
      <c r="B11" s="45"/>
      <c r="C11" s="16"/>
      <c r="D11" s="45"/>
      <c r="E11" s="46"/>
      <c r="F11" s="6"/>
      <c r="G11" s="330"/>
      <c r="H11" s="6"/>
      <c r="I11" s="6"/>
      <c r="J11" s="6"/>
      <c r="K11" s="6"/>
      <c r="L11" s="1"/>
    </row>
    <row r="12" spans="1:12" ht="12.75">
      <c r="A12" s="43">
        <v>1</v>
      </c>
      <c r="B12" s="6"/>
      <c r="C12" s="6"/>
      <c r="D12" s="229" t="s">
        <v>237</v>
      </c>
      <c r="E12" s="226"/>
      <c r="F12" s="231" t="s">
        <v>203</v>
      </c>
      <c r="G12" s="358">
        <v>8.74</v>
      </c>
      <c r="H12" s="226"/>
      <c r="I12" s="226">
        <f>G12*H12</f>
        <v>0</v>
      </c>
      <c r="J12" s="227"/>
      <c r="K12" s="228">
        <f>G12*J12</f>
        <v>0</v>
      </c>
      <c r="L12" s="1" t="s">
        <v>59</v>
      </c>
    </row>
    <row r="13" spans="1:12" ht="12.75">
      <c r="A13" s="43">
        <v>2</v>
      </c>
      <c r="B13" s="6"/>
      <c r="C13" s="6"/>
      <c r="D13" s="229" t="s">
        <v>238</v>
      </c>
      <c r="E13" s="226"/>
      <c r="F13" s="231" t="s">
        <v>203</v>
      </c>
      <c r="G13" s="358">
        <v>21.2</v>
      </c>
      <c r="H13" s="226"/>
      <c r="I13" s="226">
        <f>G13*H13</f>
        <v>0</v>
      </c>
      <c r="J13" s="227"/>
      <c r="K13" s="228"/>
      <c r="L13" s="1" t="s">
        <v>59</v>
      </c>
    </row>
    <row r="14" spans="1:12" ht="12.75">
      <c r="A14" s="43">
        <v>3</v>
      </c>
      <c r="B14" s="6"/>
      <c r="C14" s="6"/>
      <c r="D14" s="229" t="s">
        <v>239</v>
      </c>
      <c r="E14" s="226"/>
      <c r="F14" s="231" t="s">
        <v>203</v>
      </c>
      <c r="G14" s="358">
        <v>1.35</v>
      </c>
      <c r="H14" s="226"/>
      <c r="I14" s="226">
        <f>G14*H14</f>
        <v>0</v>
      </c>
      <c r="J14" s="227"/>
      <c r="K14" s="228"/>
      <c r="L14" s="1" t="s">
        <v>59</v>
      </c>
    </row>
    <row r="15" spans="1:12" ht="12.75">
      <c r="A15" s="43">
        <v>4</v>
      </c>
      <c r="B15" s="6"/>
      <c r="C15" s="6"/>
      <c r="D15" s="229" t="s">
        <v>240</v>
      </c>
      <c r="E15" s="226"/>
      <c r="F15" s="231" t="s">
        <v>203</v>
      </c>
      <c r="G15" s="358">
        <v>1.02</v>
      </c>
      <c r="H15" s="226"/>
      <c r="I15" s="226">
        <f>G15*H15</f>
        <v>0</v>
      </c>
      <c r="J15" s="227"/>
      <c r="K15" s="228"/>
      <c r="L15" s="1" t="s">
        <v>59</v>
      </c>
    </row>
    <row r="16" spans="1:12" ht="12.75">
      <c r="A16" s="43">
        <v>5</v>
      </c>
      <c r="B16" s="6"/>
      <c r="C16" s="6"/>
      <c r="D16" s="229" t="s">
        <v>241</v>
      </c>
      <c r="E16" s="226"/>
      <c r="F16" s="231" t="s">
        <v>203</v>
      </c>
      <c r="G16" s="358">
        <v>3.35</v>
      </c>
      <c r="H16" s="226"/>
      <c r="I16" s="226">
        <f>G16*H16</f>
        <v>0</v>
      </c>
      <c r="J16" s="227"/>
      <c r="K16" s="228"/>
      <c r="L16" s="1" t="s">
        <v>59</v>
      </c>
    </row>
    <row r="17" spans="1:12" ht="12.75">
      <c r="A17" s="43">
        <v>6</v>
      </c>
      <c r="B17" s="6"/>
      <c r="C17" s="6"/>
      <c r="D17" s="229" t="s">
        <v>242</v>
      </c>
      <c r="E17" s="226"/>
      <c r="F17" s="231" t="s">
        <v>203</v>
      </c>
      <c r="G17" s="358">
        <v>13.4</v>
      </c>
      <c r="H17" s="226"/>
      <c r="I17" s="226">
        <f aca="true" t="shared" si="0" ref="I17:I30">G17*H17</f>
        <v>0</v>
      </c>
      <c r="J17" s="227"/>
      <c r="K17" s="228">
        <f aca="true" t="shared" si="1" ref="K17:K30">G17*J17</f>
        <v>0</v>
      </c>
      <c r="L17" s="1" t="s">
        <v>59</v>
      </c>
    </row>
    <row r="18" spans="1:12" ht="12.75">
      <c r="A18" s="43">
        <v>7</v>
      </c>
      <c r="B18" s="6"/>
      <c r="C18" s="6"/>
      <c r="D18" s="229" t="s">
        <v>243</v>
      </c>
      <c r="E18" s="226"/>
      <c r="F18" s="231" t="s">
        <v>203</v>
      </c>
      <c r="G18" s="358">
        <v>4.37</v>
      </c>
      <c r="H18" s="226"/>
      <c r="I18" s="226">
        <f t="shared" si="0"/>
        <v>0</v>
      </c>
      <c r="J18" s="227"/>
      <c r="K18" s="228"/>
      <c r="L18" s="1" t="s">
        <v>59</v>
      </c>
    </row>
    <row r="19" spans="1:12" ht="12.75">
      <c r="A19" s="43">
        <v>8</v>
      </c>
      <c r="B19" s="6"/>
      <c r="C19" s="6"/>
      <c r="D19" s="229" t="s">
        <v>244</v>
      </c>
      <c r="E19" s="226"/>
      <c r="F19" s="231" t="s">
        <v>12</v>
      </c>
      <c r="G19" s="358">
        <v>14.2</v>
      </c>
      <c r="H19" s="226"/>
      <c r="I19" s="226">
        <f t="shared" si="0"/>
        <v>0</v>
      </c>
      <c r="J19" s="227"/>
      <c r="K19" s="228">
        <f t="shared" si="1"/>
        <v>0</v>
      </c>
      <c r="L19" s="1" t="s">
        <v>59</v>
      </c>
    </row>
    <row r="20" spans="1:12" ht="12.75">
      <c r="A20" s="43">
        <v>9</v>
      </c>
      <c r="B20" s="6"/>
      <c r="C20" s="6"/>
      <c r="D20" s="229" t="s">
        <v>245</v>
      </c>
      <c r="E20" s="226"/>
      <c r="F20" s="231" t="s">
        <v>216</v>
      </c>
      <c r="G20" s="358">
        <v>1</v>
      </c>
      <c r="H20" s="226"/>
      <c r="I20" s="226">
        <f t="shared" si="0"/>
        <v>0</v>
      </c>
      <c r="J20" s="227"/>
      <c r="K20" s="228"/>
      <c r="L20" s="1" t="s">
        <v>59</v>
      </c>
    </row>
    <row r="21" spans="1:12" ht="12.75">
      <c r="A21" s="43">
        <v>10</v>
      </c>
      <c r="B21" s="6"/>
      <c r="C21" s="6"/>
      <c r="D21" s="229" t="s">
        <v>246</v>
      </c>
      <c r="E21" s="226"/>
      <c r="F21" s="231" t="s">
        <v>23</v>
      </c>
      <c r="G21" s="358">
        <v>1</v>
      </c>
      <c r="H21" s="226"/>
      <c r="I21" s="226">
        <f t="shared" si="0"/>
        <v>0</v>
      </c>
      <c r="J21" s="227"/>
      <c r="K21" s="228">
        <f t="shared" si="1"/>
        <v>0</v>
      </c>
      <c r="L21" s="1" t="s">
        <v>59</v>
      </c>
    </row>
    <row r="22" spans="1:12" ht="12.75">
      <c r="A22" s="43">
        <v>11</v>
      </c>
      <c r="B22" s="6"/>
      <c r="C22" s="6"/>
      <c r="D22" s="229" t="s">
        <v>224</v>
      </c>
      <c r="E22" s="226"/>
      <c r="F22" s="231" t="s">
        <v>12</v>
      </c>
      <c r="G22" s="358">
        <v>24.5</v>
      </c>
      <c r="H22" s="226"/>
      <c r="I22" s="226">
        <f t="shared" si="0"/>
        <v>0</v>
      </c>
      <c r="J22" s="227"/>
      <c r="K22" s="228">
        <f t="shared" si="1"/>
        <v>0</v>
      </c>
      <c r="L22" s="1" t="s">
        <v>59</v>
      </c>
    </row>
    <row r="23" spans="1:12" ht="12.75">
      <c r="A23" s="43">
        <v>12</v>
      </c>
      <c r="B23" s="6"/>
      <c r="C23" s="6"/>
      <c r="D23" s="229" t="s">
        <v>247</v>
      </c>
      <c r="E23" s="226"/>
      <c r="F23" s="231" t="s">
        <v>23</v>
      </c>
      <c r="G23" s="358">
        <v>1</v>
      </c>
      <c r="H23" s="226"/>
      <c r="I23" s="226">
        <f t="shared" si="0"/>
        <v>0</v>
      </c>
      <c r="J23" s="227"/>
      <c r="K23" s="228">
        <f t="shared" si="1"/>
        <v>0</v>
      </c>
      <c r="L23" s="1" t="s">
        <v>59</v>
      </c>
    </row>
    <row r="24" spans="1:12" ht="12.75">
      <c r="A24" s="43">
        <v>13</v>
      </c>
      <c r="B24" s="6"/>
      <c r="C24" s="6"/>
      <c r="D24" s="229" t="s">
        <v>227</v>
      </c>
      <c r="E24" s="226"/>
      <c r="F24" s="231" t="s">
        <v>216</v>
      </c>
      <c r="G24" s="358">
        <v>1</v>
      </c>
      <c r="H24" s="226"/>
      <c r="I24" s="226">
        <f t="shared" si="0"/>
        <v>0</v>
      </c>
      <c r="J24" s="227"/>
      <c r="K24" s="228">
        <f t="shared" si="1"/>
        <v>0</v>
      </c>
      <c r="L24" s="1" t="s">
        <v>59</v>
      </c>
    </row>
    <row r="25" spans="1:12" ht="12.75">
      <c r="A25" s="43">
        <v>14</v>
      </c>
      <c r="B25" s="6"/>
      <c r="C25" s="6"/>
      <c r="D25" s="229" t="s">
        <v>230</v>
      </c>
      <c r="E25" s="226"/>
      <c r="F25" s="231" t="s">
        <v>216</v>
      </c>
      <c r="G25" s="358">
        <v>1</v>
      </c>
      <c r="H25" s="226"/>
      <c r="I25" s="226">
        <f t="shared" si="0"/>
        <v>0</v>
      </c>
      <c r="J25" s="227"/>
      <c r="K25" s="228">
        <f t="shared" si="1"/>
        <v>0</v>
      </c>
      <c r="L25" s="1" t="s">
        <v>59</v>
      </c>
    </row>
    <row r="26" spans="1:12" ht="12.75">
      <c r="A26" s="43">
        <v>15</v>
      </c>
      <c r="B26" s="6"/>
      <c r="C26" s="6"/>
      <c r="D26" s="229" t="s">
        <v>231</v>
      </c>
      <c r="E26" s="226"/>
      <c r="F26" s="231" t="s">
        <v>216</v>
      </c>
      <c r="G26" s="358">
        <v>1</v>
      </c>
      <c r="H26" s="226"/>
      <c r="I26" s="226">
        <f t="shared" si="0"/>
        <v>0</v>
      </c>
      <c r="J26" s="227"/>
      <c r="K26" s="228">
        <f t="shared" si="1"/>
        <v>0</v>
      </c>
      <c r="L26" s="1" t="s">
        <v>59</v>
      </c>
    </row>
    <row r="27" spans="1:12" ht="12.75">
      <c r="A27" s="43">
        <v>16</v>
      </c>
      <c r="B27" s="6"/>
      <c r="C27" s="6"/>
      <c r="D27" s="229" t="s">
        <v>232</v>
      </c>
      <c r="E27" s="226"/>
      <c r="F27" s="231" t="s">
        <v>216</v>
      </c>
      <c r="G27" s="358">
        <v>1</v>
      </c>
      <c r="H27" s="226"/>
      <c r="I27" s="226">
        <f t="shared" si="0"/>
        <v>0</v>
      </c>
      <c r="J27" s="227"/>
      <c r="K27" s="228">
        <f t="shared" si="1"/>
        <v>0</v>
      </c>
      <c r="L27" s="1" t="s">
        <v>59</v>
      </c>
    </row>
    <row r="28" spans="1:12" ht="12.75">
      <c r="A28" s="43">
        <v>17</v>
      </c>
      <c r="B28" s="6"/>
      <c r="C28" s="8"/>
      <c r="D28" s="229" t="s">
        <v>233</v>
      </c>
      <c r="E28" s="226"/>
      <c r="F28" s="231" t="s">
        <v>216</v>
      </c>
      <c r="G28" s="358">
        <v>1</v>
      </c>
      <c r="H28" s="226"/>
      <c r="I28" s="226">
        <f t="shared" si="0"/>
        <v>0</v>
      </c>
      <c r="J28" s="227"/>
      <c r="K28" s="228">
        <f t="shared" si="1"/>
        <v>0</v>
      </c>
      <c r="L28" s="1" t="s">
        <v>59</v>
      </c>
    </row>
    <row r="29" spans="1:12" ht="12.75">
      <c r="A29" s="43">
        <v>18</v>
      </c>
      <c r="B29" s="6"/>
      <c r="C29" s="6"/>
      <c r="D29" s="229" t="s">
        <v>234</v>
      </c>
      <c r="E29" s="226"/>
      <c r="F29" s="231" t="s">
        <v>216</v>
      </c>
      <c r="G29" s="358">
        <v>1</v>
      </c>
      <c r="H29" s="226"/>
      <c r="I29" s="226">
        <f t="shared" si="0"/>
        <v>0</v>
      </c>
      <c r="J29" s="227"/>
      <c r="K29" s="228">
        <f t="shared" si="1"/>
        <v>0</v>
      </c>
      <c r="L29" s="1" t="s">
        <v>59</v>
      </c>
    </row>
    <row r="30" spans="1:12" ht="12.75">
      <c r="A30" s="43">
        <v>19</v>
      </c>
      <c r="B30" s="6"/>
      <c r="C30" s="6"/>
      <c r="D30" s="385" t="s">
        <v>897</v>
      </c>
      <c r="E30" s="226"/>
      <c r="F30" s="386" t="s">
        <v>203</v>
      </c>
      <c r="G30" s="358">
        <v>9.5</v>
      </c>
      <c r="H30" s="226"/>
      <c r="I30" s="226">
        <f t="shared" si="0"/>
        <v>0</v>
      </c>
      <c r="J30" s="227"/>
      <c r="K30" s="228">
        <f t="shared" si="1"/>
        <v>0</v>
      </c>
      <c r="L30" s="1" t="s">
        <v>59</v>
      </c>
    </row>
    <row r="31" spans="1:12" ht="12.75">
      <c r="A31" s="6"/>
      <c r="B31" s="6"/>
      <c r="C31" s="42"/>
      <c r="D31" s="6"/>
      <c r="E31" s="12"/>
      <c r="F31" s="43"/>
      <c r="G31" s="352" t="s">
        <v>19</v>
      </c>
      <c r="H31" s="62"/>
      <c r="I31" s="63">
        <f>SUM(I12:I30)</f>
        <v>0</v>
      </c>
      <c r="J31" s="76"/>
      <c r="K31" s="63">
        <f>SUM(K12:K12)</f>
        <v>0</v>
      </c>
      <c r="L31" s="77">
        <f>SUM(L12:L12)</f>
        <v>0</v>
      </c>
    </row>
    <row r="32" spans="1:12" ht="13.5" thickBot="1">
      <c r="A32" s="20"/>
      <c r="B32" s="20"/>
      <c r="C32" s="86"/>
      <c r="D32" s="20"/>
      <c r="E32" s="87"/>
      <c r="F32" s="88"/>
      <c r="G32" s="349"/>
      <c r="H32" s="20"/>
      <c r="I32" s="20"/>
      <c r="J32" s="20"/>
      <c r="K32" s="20"/>
      <c r="L32" s="20"/>
    </row>
    <row r="33" spans="1:12" ht="15.75">
      <c r="A33" s="25" t="s">
        <v>25</v>
      </c>
      <c r="B33" s="25"/>
      <c r="C33" s="89"/>
      <c r="D33" s="25"/>
      <c r="E33" s="90"/>
      <c r="F33" s="91"/>
      <c r="G33" s="402">
        <f>I31</f>
        <v>0</v>
      </c>
      <c r="H33" s="402"/>
      <c r="I33" s="402"/>
      <c r="J33" s="90"/>
      <c r="K33" s="90">
        <f>K31</f>
        <v>0</v>
      </c>
      <c r="L33" s="90"/>
    </row>
    <row r="34" spans="1:12" ht="12.75">
      <c r="A34" s="6"/>
      <c r="B34" s="6"/>
      <c r="C34" s="42"/>
      <c r="D34" s="6"/>
      <c r="E34" s="12"/>
      <c r="F34" s="43"/>
      <c r="G34" s="330"/>
      <c r="H34" s="92" t="s">
        <v>46</v>
      </c>
      <c r="I34" s="93">
        <f>SUM(I10:I32)*0.5</f>
        <v>0</v>
      </c>
      <c r="J34" s="92"/>
      <c r="K34" s="93">
        <f>SUM(K10:K32)*0.5</f>
        <v>0</v>
      </c>
      <c r="L34" s="1"/>
    </row>
    <row r="35" spans="1:12" ht="12.75">
      <c r="A35" s="6"/>
      <c r="B35" s="6"/>
      <c r="C35" s="42"/>
      <c r="D35" s="369"/>
      <c r="E35" s="370"/>
      <c r="F35" s="371"/>
      <c r="G35" s="373"/>
      <c r="H35" s="6"/>
      <c r="I35" s="6"/>
      <c r="J35" s="6"/>
      <c r="K35" s="6"/>
      <c r="L35" s="1"/>
    </row>
    <row r="36" spans="1:12" ht="12.75">
      <c r="A36" s="6"/>
      <c r="B36" s="6"/>
      <c r="C36" s="42"/>
      <c r="D36" s="6"/>
      <c r="E36" s="12"/>
      <c r="F36" s="43"/>
      <c r="G36" s="330"/>
      <c r="H36" s="6"/>
      <c r="I36" s="12"/>
      <c r="J36" s="6"/>
      <c r="K36" s="6"/>
      <c r="L36" s="1"/>
    </row>
    <row r="37" spans="1:12" ht="12.75">
      <c r="A37" s="6"/>
      <c r="B37" s="6"/>
      <c r="C37" s="42"/>
      <c r="D37" s="6"/>
      <c r="E37" s="12"/>
      <c r="F37" s="43"/>
      <c r="G37" s="330"/>
      <c r="H37" s="6"/>
      <c r="I37" s="6"/>
      <c r="J37" s="6"/>
      <c r="K37" s="6"/>
      <c r="L37" s="1"/>
    </row>
    <row r="38" spans="1:12" ht="12.75">
      <c r="A38" s="6"/>
      <c r="B38" s="6"/>
      <c r="C38" s="42"/>
      <c r="D38" s="6"/>
      <c r="E38" s="12"/>
      <c r="F38" s="43"/>
      <c r="G38" s="330"/>
      <c r="H38" s="6"/>
      <c r="I38" s="6"/>
      <c r="J38" s="6"/>
      <c r="K38" s="6"/>
      <c r="L38" s="1"/>
    </row>
    <row r="39" spans="1:12" ht="12.75">
      <c r="A39" s="6"/>
      <c r="B39" s="6"/>
      <c r="C39" s="42"/>
      <c r="D39" s="6"/>
      <c r="E39" s="12"/>
      <c r="F39" s="43"/>
      <c r="G39" s="330"/>
      <c r="H39" s="6"/>
      <c r="I39" s="6"/>
      <c r="J39" s="6"/>
      <c r="K39" s="6"/>
      <c r="L39" s="1"/>
    </row>
    <row r="40" spans="1:12" ht="12.75">
      <c r="A40" s="6"/>
      <c r="B40" s="6"/>
      <c r="C40" s="42"/>
      <c r="D40" s="6"/>
      <c r="E40" s="12"/>
      <c r="F40" s="43"/>
      <c r="G40" s="330"/>
      <c r="H40" s="6"/>
      <c r="I40" s="6"/>
      <c r="J40" s="6"/>
      <c r="K40" s="6"/>
      <c r="L40" s="1"/>
    </row>
    <row r="41" spans="1:12" ht="12.75">
      <c r="A41" s="6"/>
      <c r="B41" s="6"/>
      <c r="C41" s="42"/>
      <c r="D41" s="6"/>
      <c r="E41" s="12"/>
      <c r="F41" s="43"/>
      <c r="G41" s="330"/>
      <c r="H41" s="6"/>
      <c r="I41" s="6"/>
      <c r="J41" s="6"/>
      <c r="K41" s="6"/>
      <c r="L41" s="1"/>
    </row>
    <row r="42" spans="1:12" ht="12.75">
      <c r="A42" s="6"/>
      <c r="B42" s="6"/>
      <c r="C42" s="42"/>
      <c r="D42" s="6"/>
      <c r="E42" s="12"/>
      <c r="F42" s="43"/>
      <c r="G42" s="330"/>
      <c r="H42" s="6"/>
      <c r="I42" s="6"/>
      <c r="J42" s="6"/>
      <c r="K42" s="6"/>
      <c r="L42" s="1"/>
    </row>
    <row r="43" spans="1:12" ht="12.75">
      <c r="A43" s="6"/>
      <c r="B43" s="6"/>
      <c r="C43" s="42"/>
      <c r="D43" s="6"/>
      <c r="E43" s="12"/>
      <c r="F43" s="43"/>
      <c r="G43" s="330"/>
      <c r="H43" s="6"/>
      <c r="I43" s="6"/>
      <c r="J43" s="6"/>
      <c r="K43" s="6"/>
      <c r="L43" s="1"/>
    </row>
    <row r="44" spans="1:12" ht="12.75">
      <c r="A44" s="6"/>
      <c r="B44" s="6"/>
      <c r="C44" s="42"/>
      <c r="D44" s="6"/>
      <c r="E44" s="12"/>
      <c r="F44" s="43"/>
      <c r="G44" s="330"/>
      <c r="H44" s="6"/>
      <c r="I44" s="6"/>
      <c r="J44" s="6"/>
      <c r="K44" s="6"/>
      <c r="L44" s="1"/>
    </row>
  </sheetData>
  <sheetProtection/>
  <mergeCells count="3">
    <mergeCell ref="A1:L1"/>
    <mergeCell ref="J7:K7"/>
    <mergeCell ref="G33:I33"/>
  </mergeCells>
  <printOptions horizontalCentered="1"/>
  <pageMargins left="0.5905511811023623" right="0.44" top="0.56" bottom="0.44" header="0.41" footer="0.4"/>
  <pageSetup fitToHeight="0" fitToWidth="1" horizontalDpi="204" verticalDpi="204" orientation="portrait" paperSize="9" scale="61" r:id="rId1"/>
  <headerFooter alignWithMargins="0">
    <oddHeader>&amp;L&amp;9Položky&amp;R&amp;8Strana &amp;P z &amp;N</oddHeader>
  </headerFooter>
  <colBreaks count="2" manualBreakCount="2">
    <brk id="10" max="193" man="1"/>
    <brk id="11" max="1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Geisler Jiří</cp:lastModifiedBy>
  <cp:lastPrinted>2013-11-13T10:00:39Z</cp:lastPrinted>
  <dcterms:created xsi:type="dcterms:W3CDTF">2005-01-14T16:27:58Z</dcterms:created>
  <dcterms:modified xsi:type="dcterms:W3CDTF">2014-03-25T06:25:11Z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